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nsultan\2023\titip satria\GEDUNG BI TG.SELAMAT\"/>
    </mc:Choice>
  </mc:AlternateContent>
  <bookViews>
    <workbookView xWindow="-390" yWindow="390" windowWidth="10590" windowHeight="6855" tabRatio="870" activeTab="1"/>
  </bookViews>
  <sheets>
    <sheet name="BACK UP BESI BETON BACKISTING" sheetId="17" r:id="rId1"/>
    <sheet name="REKP" sheetId="21" r:id="rId2"/>
    <sheet name="RAB" sheetId="6" r:id="rId3"/>
    <sheet name="DIHIT" sheetId="19" r:id="rId4"/>
    <sheet name="AHS-2016" sheetId="15" r:id="rId5"/>
    <sheet name="AHS" sheetId="2" state="hidden" r:id="rId6"/>
    <sheet name="UPah &amp; Bahan oke" sheetId="8" r:id="rId7"/>
    <sheet name="QUANTYTI OK" sheetId="18" r:id="rId8"/>
    <sheet name="REKAP" sheetId="12" state="hidden" r:id="rId9"/>
    <sheet name="DATA " sheetId="10" state="hidden" r:id="rId10"/>
    <sheet name="Hrg. Sat. Upah (3)" sheetId="20" state="hidden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Fill" localSheetId="0" hidden="1">#REF!</definedName>
    <definedName name="_Fill" localSheetId="3" hidden="1">#REF!</definedName>
    <definedName name="_Fill" localSheetId="10" hidden="1">#REF!</definedName>
    <definedName name="_Fill" localSheetId="7" hidden="1">#REF!</definedName>
    <definedName name="_Fill" hidden="1">#REF!</definedName>
    <definedName name="_Key1" localSheetId="0" hidden="1">#REF!</definedName>
    <definedName name="_Key1" localSheetId="10" hidden="1">#REF!</definedName>
    <definedName name="_Key1" localSheetId="7" hidden="1">#REF!</definedName>
    <definedName name="_Key1" hidden="1">#REF!</definedName>
    <definedName name="_Key2" localSheetId="0" hidden="1">#REF!</definedName>
    <definedName name="_Key2" localSheetId="7" hidden="1">#REF!</definedName>
    <definedName name="_Key2" hidden="1">#REF!</definedName>
    <definedName name="_Order1" hidden="1">255</definedName>
    <definedName name="_Sort" localSheetId="0" hidden="1">#REF!</definedName>
    <definedName name="_Sort" localSheetId="10" hidden="1">#REF!</definedName>
    <definedName name="_Sort" localSheetId="7" hidden="1">#REF!</definedName>
    <definedName name="_Sort" hidden="1">#REF!</definedName>
    <definedName name="ANJINGGGG" localSheetId="0">#REF!</definedName>
    <definedName name="ANJINGGGG" localSheetId="7">#REF!</definedName>
    <definedName name="ANJINGGGG">#REF!</definedName>
    <definedName name="area" localSheetId="0">'[1]Harsat Upah:Perhitungan Besi'!$A$1</definedName>
    <definedName name="area" localSheetId="3">'[1]Harsat Upah:Perhitungan Besi'!$A$1</definedName>
    <definedName name="area">'[2]Harga Upah:Perhitungan Besi'!$A$1</definedName>
    <definedName name="D" localSheetId="0">'[1]Analisa SNI'!$E$147</definedName>
    <definedName name="D" localSheetId="3">'[1]Analisa SNI'!$E$147</definedName>
    <definedName name="D">'[2]Analisa SNI'!$E$147</definedName>
    <definedName name="DAERAH" localSheetId="0">#REF!</definedName>
    <definedName name="DAERAH" localSheetId="3">#REF!</definedName>
    <definedName name="DAERAH" localSheetId="7">#REF!</definedName>
    <definedName name="DAERAH">#REF!</definedName>
    <definedName name="gpek" localSheetId="0">#REF!</definedName>
    <definedName name="gpek" localSheetId="7">#REF!</definedName>
    <definedName name="gpek">#REF!</definedName>
    <definedName name="jumlah" localSheetId="0">#REF!</definedName>
    <definedName name="jumlah" localSheetId="7">#REF!</definedName>
    <definedName name="jumlah">#REF!</definedName>
    <definedName name="KT" localSheetId="0">'[1]Harsat Upah'!#REF!</definedName>
    <definedName name="KT" localSheetId="3">'[1]Harsat Upah'!#REF!</definedName>
    <definedName name="KT" localSheetId="7">'[2]Harga Upah'!#REF!</definedName>
    <definedName name="KT">'[2]Harga Upah'!#REF!</definedName>
    <definedName name="KTB" localSheetId="0">'[1]Harsat Upah'!$F$11</definedName>
    <definedName name="KTB" localSheetId="3">'[1]Harsat Upah'!$F$11</definedName>
    <definedName name="KTB">'[2]Harga Upah'!$F$11</definedName>
    <definedName name="KTBB" localSheetId="0">'[1]Harsat Upah'!$F$17</definedName>
    <definedName name="KTBB" localSheetId="3">'[1]Harsat Upah'!$F$17</definedName>
    <definedName name="KTBB">'[2]Harga Upah'!$F$17</definedName>
    <definedName name="KTBP" localSheetId="0">'[1]Harsat Upah'!$F$19</definedName>
    <definedName name="KTBP" localSheetId="3">'[1]Harsat Upah'!$F$19</definedName>
    <definedName name="KTBP">'[2]Harga Upah'!$F$19</definedName>
    <definedName name="KTC" localSheetId="0">'[1]Harsat Upah'!$F$15</definedName>
    <definedName name="KTC" localSheetId="3">'[1]Harsat Upah'!$F$15</definedName>
    <definedName name="KTC">'[2]Harga Upah'!$F$15</definedName>
    <definedName name="KTK" localSheetId="0">'[1]Harsat Upah'!$F$13</definedName>
    <definedName name="KTK" localSheetId="3">'[1]Harsat Upah'!$F$13</definedName>
    <definedName name="KTK">'[2]Harga Upah'!$F$13</definedName>
    <definedName name="LOKASI" localSheetId="0">[3]analisa!#REF!</definedName>
    <definedName name="LOKASI" localSheetId="3">[3]analisa!#REF!</definedName>
    <definedName name="LOKASI" localSheetId="7">[3]analisa!#REF!</definedName>
    <definedName name="LOKASI">[3]analisa!#REF!</definedName>
    <definedName name="M" localSheetId="0">'[1]Harsat Upah'!$F$20</definedName>
    <definedName name="M" localSheetId="3">'[1]Harsat Upah'!$F$20</definedName>
    <definedName name="M">'[2]Harga Upah'!$F$20</definedName>
    <definedName name="MEMEK" localSheetId="0">#REF!</definedName>
    <definedName name="MEMEK" localSheetId="3">#REF!</definedName>
    <definedName name="MEMEK" localSheetId="7">#REF!</definedName>
    <definedName name="MEMEK">#REF!</definedName>
    <definedName name="O" localSheetId="0">'[1]Harsat Upah'!#REF!</definedName>
    <definedName name="O" localSheetId="3">'[1]Harsat Upah'!#REF!</definedName>
    <definedName name="O" localSheetId="7">'[2]Harga Upah'!#REF!</definedName>
    <definedName name="O">'[2]Harga Upah'!#REF!</definedName>
    <definedName name="P" localSheetId="0">'[1]Harsat Upah'!$F$9</definedName>
    <definedName name="P" localSheetId="3">'[1]Harsat Upah'!$F$9</definedName>
    <definedName name="P">'[2]Harga Upah'!$F$9</definedName>
    <definedName name="pasanganbatamerah1_2" localSheetId="0">#REF!</definedName>
    <definedName name="pasanganbatamerah1_2" localSheetId="3">#REF!</definedName>
    <definedName name="pasanganbatamerah1_2" localSheetId="7">#REF!</definedName>
    <definedName name="pasanganbatamerah1_2">#REF!</definedName>
    <definedName name="PM" localSheetId="0">'[1]Harsat Upah'!#REF!</definedName>
    <definedName name="PM" localSheetId="3">'[1]Harsat Upah'!#REF!</definedName>
    <definedName name="PM" localSheetId="7">'[2]Harga Upah'!#REF!</definedName>
    <definedName name="PM">'[2]Harga Upah'!#REF!</definedName>
    <definedName name="PO" localSheetId="0">'[1]Harsat Upah'!#REF!</definedName>
    <definedName name="PO" localSheetId="3">'[1]Harsat Upah'!#REF!</definedName>
    <definedName name="PO" localSheetId="7">'[2]Harga Upah'!#REF!</definedName>
    <definedName name="PO">'[2]Harga Upah'!#REF!</definedName>
    <definedName name="print" localSheetId="0">#REF!</definedName>
    <definedName name="print" localSheetId="3">#REF!</definedName>
    <definedName name="print" localSheetId="7">#REF!</definedName>
    <definedName name="print">#REF!</definedName>
    <definedName name="_xlnm.Print_Area" localSheetId="5">AHS!$B$4:$O$694</definedName>
    <definedName name="_xlnm.Print_Area" localSheetId="4">'AHS-2016'!$A$1:$G$858,'AHS-2016'!$A$860:$G$1002</definedName>
    <definedName name="_xlnm.Print_Area" localSheetId="0">'BACK UP BESI BETON BACKISTING'!$B$2:$V$46</definedName>
    <definedName name="_xlnm.Print_Area" localSheetId="3">DIHIT!$B$1:$H$458</definedName>
    <definedName name="_xlnm.Print_Area" localSheetId="10">'Hrg. Sat. Upah (3)'!$A$1:$D$82</definedName>
    <definedName name="_xlnm.Print_Area" localSheetId="7">'QUANTYTI OK'!$B$1:$Y$179</definedName>
    <definedName name="_xlnm.Print_Area" localSheetId="2">RAB!$B$4:$N$136</definedName>
    <definedName name="_xlnm.Print_Area" localSheetId="1">REKP!$A$1:$J$51</definedName>
    <definedName name="_xlnm.Print_Area" localSheetId="6">'UPah &amp; Bahan oke'!$A$4:$J$170</definedName>
    <definedName name="_xlnm.Print_Titles" localSheetId="3">DIHIT!$1:$6</definedName>
    <definedName name="_xlnm.Print_Titles" localSheetId="7">'QUANTYTI OK'!$8:$9</definedName>
    <definedName name="_xlnm.Print_Titles" localSheetId="2">RAB!$12:$13</definedName>
    <definedName name="_xlnm.Print_Titles" localSheetId="6">'UPah &amp; Bahan oke'!$7:$7</definedName>
    <definedName name="PST" localSheetId="0">'[1]Harsat Upah'!#REF!</definedName>
    <definedName name="PST" localSheetId="3">'[1]Harsat Upah'!#REF!</definedName>
    <definedName name="PST" localSheetId="7">'[2]Harga Upah'!#REF!</definedName>
    <definedName name="PST">'[2]Harga Upah'!#REF!</definedName>
    <definedName name="PT" localSheetId="0">'[1]Harsat Upah'!#REF!</definedName>
    <definedName name="PT" localSheetId="3">'[1]Harsat Upah'!#REF!</definedName>
    <definedName name="PT" localSheetId="7">'[2]Harga Upah'!#REF!</definedName>
    <definedName name="PT">'[2]Harga Upah'!#REF!</definedName>
    <definedName name="ST" localSheetId="0">'[1]Harsat Upah'!#REF!</definedName>
    <definedName name="ST" localSheetId="3">'[1]Harsat Upah'!#REF!</definedName>
    <definedName name="ST" localSheetId="7">'[2]Harga Upah'!#REF!</definedName>
    <definedName name="ST">'[2]Harga Upah'!#REF!</definedName>
    <definedName name="TB" localSheetId="0">'[1]Harsat Upah'!$F$10</definedName>
    <definedName name="TB" localSheetId="3">'[1]Harsat Upah'!$F$10</definedName>
    <definedName name="TB">'[2]Harga Upah'!$F$10</definedName>
    <definedName name="TBBST" localSheetId="0">'[1]Harsat Upah'!$F$16</definedName>
    <definedName name="TBBST" localSheetId="3">'[1]Harsat Upah'!$F$16</definedName>
    <definedName name="TBBST">'[2]Harga Upah'!$F$16</definedName>
    <definedName name="TBBT" localSheetId="0">'[1]Harsat Upah'!#REF!</definedName>
    <definedName name="TBBT" localSheetId="3">'[1]Harsat Upah'!#REF!</definedName>
    <definedName name="TBBT" localSheetId="7">'[2]Harga Upah'!#REF!</definedName>
    <definedName name="TBBT">'[2]Harga Upah'!#REF!</definedName>
    <definedName name="TBPT" localSheetId="0">'[1]Harsat Upah'!#REF!</definedName>
    <definedName name="TBPT" localSheetId="3">'[1]Harsat Upah'!#REF!</definedName>
    <definedName name="TBPT" localSheetId="7">'[2]Harga Upah'!#REF!</definedName>
    <definedName name="TBPT">'[2]Harga Upah'!#REF!</definedName>
    <definedName name="TBST" localSheetId="0">'[1]Harsat Upah'!#REF!</definedName>
    <definedName name="TBST" localSheetId="3">'[1]Harsat Upah'!#REF!</definedName>
    <definedName name="TBST" localSheetId="7">'[2]Harga Upah'!#REF!</definedName>
    <definedName name="TBST">'[2]Harga Upah'!#REF!</definedName>
    <definedName name="TBT" localSheetId="0">'[1]Harsat Upah'!#REF!</definedName>
    <definedName name="TBT" localSheetId="3">'[1]Harsat Upah'!#REF!</definedName>
    <definedName name="TBT" localSheetId="7">'[2]Harga Upah'!#REF!</definedName>
    <definedName name="TBT">'[2]Harga Upah'!#REF!</definedName>
    <definedName name="TC" localSheetId="0">'[1]Harsat Upah'!$F$14</definedName>
    <definedName name="TC" localSheetId="3">'[1]Harsat Upah'!$F$14</definedName>
    <definedName name="TC">'[2]Harga Upah'!$F$14</definedName>
    <definedName name="TCT" localSheetId="0">'[1]Harsat Upah'!#REF!</definedName>
    <definedName name="TCT" localSheetId="3">'[1]Harsat Upah'!#REF!</definedName>
    <definedName name="TCT" localSheetId="7">'[2]Harga Upah'!#REF!</definedName>
    <definedName name="TCT">'[2]Harga Upah'!#REF!</definedName>
    <definedName name="TKST" localSheetId="0">'[1]Harsat Upah'!$F$12</definedName>
    <definedName name="TKST" localSheetId="3">'[1]Harsat Upah'!$F$12</definedName>
    <definedName name="TKST">'[2]Harga Upah'!$F$12</definedName>
    <definedName name="TKT" localSheetId="0">'[1]Harsat Upah'!#REF!</definedName>
    <definedName name="TKT" localSheetId="3">'[1]Harsat Upah'!#REF!</definedName>
    <definedName name="TKT" localSheetId="7">'[2]Harga Upah'!#REF!</definedName>
    <definedName name="TKT">'[2]Harga Upah'!#REF!</definedName>
    <definedName name="TPBST" localSheetId="0">'[1]Harsat Upah'!$F$18</definedName>
    <definedName name="TPBST" localSheetId="3">'[1]Harsat Upah'!$F$18</definedName>
    <definedName name="TPBST">'[2]Harga Upah'!$F$18</definedName>
    <definedName name="wrn.chi._.tiÆt." hidden="1">{#N/A,#N/A,FALSE,"Chi tiÆt"}</definedName>
  </definedNames>
  <calcPr calcId="152511"/>
</workbook>
</file>

<file path=xl/calcChain.xml><?xml version="1.0" encoding="utf-8"?>
<calcChain xmlns="http://schemas.openxmlformats.org/spreadsheetml/2006/main">
  <c r="O141" i="18" l="1"/>
  <c r="F173" i="18"/>
  <c r="K175" i="18"/>
  <c r="K174" i="18"/>
  <c r="M175" i="18"/>
  <c r="I174" i="18"/>
  <c r="O173" i="18"/>
  <c r="H59" i="6" s="1"/>
  <c r="O172" i="18"/>
  <c r="F172" i="18" s="1"/>
  <c r="N104" i="6"/>
  <c r="B105" i="6"/>
  <c r="B106" i="6" s="1"/>
  <c r="B107" i="6" s="1"/>
  <c r="B108" i="6" s="1"/>
  <c r="B109" i="6" s="1"/>
  <c r="B110" i="6" s="1"/>
  <c r="B111" i="6" s="1"/>
  <c r="B112" i="6" s="1"/>
  <c r="H107" i="6"/>
  <c r="N112" i="6"/>
  <c r="N111" i="6"/>
  <c r="F475" i="19"/>
  <c r="H472" i="19"/>
  <c r="H473" i="19" s="1"/>
  <c r="G468" i="19"/>
  <c r="H468" i="19" s="1"/>
  <c r="O115" i="18"/>
  <c r="O114" i="18"/>
  <c r="O113" i="18"/>
  <c r="O112" i="18"/>
  <c r="O111" i="18"/>
  <c r="O110" i="18"/>
  <c r="O109" i="18"/>
  <c r="O116" i="18" s="1"/>
  <c r="F993" i="15"/>
  <c r="F911" i="15"/>
  <c r="F889" i="15"/>
  <c r="F869" i="15"/>
  <c r="F231" i="15"/>
  <c r="J231" i="15"/>
  <c r="F109" i="18" l="1"/>
  <c r="H93" i="6" s="1"/>
  <c r="O117" i="18"/>
  <c r="H61" i="6"/>
  <c r="O175" i="18"/>
  <c r="O174" i="18"/>
  <c r="G469" i="19"/>
  <c r="H469" i="19" s="1"/>
  <c r="H470" i="19"/>
  <c r="N385" i="15"/>
  <c r="M385" i="15"/>
  <c r="F934" i="15"/>
  <c r="O176" i="18" l="1"/>
  <c r="I165" i="18"/>
  <c r="I166" i="18" s="1"/>
  <c r="I168" i="18" s="1"/>
  <c r="N106" i="6"/>
  <c r="O164" i="18"/>
  <c r="F164" i="18" s="1"/>
  <c r="H118" i="6" s="1"/>
  <c r="M169" i="18"/>
  <c r="K168" i="18"/>
  <c r="K166" i="18"/>
  <c r="F674" i="15"/>
  <c r="G674" i="15" s="1"/>
  <c r="F673" i="15"/>
  <c r="G673" i="15" s="1"/>
  <c r="F671" i="15"/>
  <c r="G671" i="15" s="1"/>
  <c r="F174" i="18" l="1"/>
  <c r="H60" i="6"/>
  <c r="K169" i="18"/>
  <c r="O166" i="18"/>
  <c r="F166" i="18" s="1"/>
  <c r="H116" i="6" s="1"/>
  <c r="O165" i="18"/>
  <c r="F165" i="18" s="1"/>
  <c r="H114" i="6" s="1"/>
  <c r="O169" i="18" l="1"/>
  <c r="O168" i="18"/>
  <c r="O170" i="18" s="1"/>
  <c r="F168" i="18" s="1"/>
  <c r="H117" i="6" s="1"/>
  <c r="K62" i="18" l="1"/>
  <c r="K60" i="18"/>
  <c r="I60" i="18"/>
  <c r="M60" i="18" s="1"/>
  <c r="F971" i="15" l="1"/>
  <c r="N127" i="6"/>
  <c r="Q125" i="6"/>
  <c r="Q127" i="6"/>
  <c r="G993" i="15"/>
  <c r="G992" i="15"/>
  <c r="G971" i="15"/>
  <c r="G911" i="15"/>
  <c r="G957" i="15"/>
  <c r="G934" i="15"/>
  <c r="F935" i="15" s="1"/>
  <c r="G935" i="15" s="1"/>
  <c r="G782" i="15"/>
  <c r="G783" i="15"/>
  <c r="G784" i="15"/>
  <c r="G511" i="15"/>
  <c r="G513" i="15" s="1"/>
  <c r="G493" i="15"/>
  <c r="G495" i="15" s="1"/>
  <c r="Q128" i="6" l="1"/>
  <c r="G995" i="15"/>
  <c r="F972" i="15"/>
  <c r="G972" i="15" s="1"/>
  <c r="G974" i="15" s="1"/>
  <c r="G785" i="15"/>
  <c r="G937" i="15"/>
  <c r="G475" i="15"/>
  <c r="G477" i="15" s="1"/>
  <c r="G440" i="15"/>
  <c r="I81" i="18"/>
  <c r="J80" i="6"/>
  <c r="M84" i="18"/>
  <c r="K84" i="18"/>
  <c r="O83" i="18"/>
  <c r="K81" i="18"/>
  <c r="I76" i="6"/>
  <c r="I75" i="6"/>
  <c r="O76" i="18"/>
  <c r="M74" i="18"/>
  <c r="I74" i="18"/>
  <c r="I62" i="18" s="1"/>
  <c r="M62" i="18" s="1"/>
  <c r="O70" i="18"/>
  <c r="F70" i="18" s="1"/>
  <c r="L374" i="15"/>
  <c r="H75" i="8"/>
  <c r="Q387" i="15"/>
  <c r="O387" i="15"/>
  <c r="Q381" i="15"/>
  <c r="O379" i="15"/>
  <c r="O380" i="15"/>
  <c r="O378" i="15"/>
  <c r="G869" i="15"/>
  <c r="G889" i="15"/>
  <c r="F892" i="15"/>
  <c r="F872" i="15"/>
  <c r="G872" i="15" s="1"/>
  <c r="G871" i="15"/>
  <c r="I140" i="18"/>
  <c r="O140" i="18" s="1"/>
  <c r="M139" i="18"/>
  <c r="I137" i="18"/>
  <c r="I139" i="18" s="1"/>
  <c r="K134" i="18"/>
  <c r="I132" i="18"/>
  <c r="K137" i="18" s="1"/>
  <c r="K139" i="18" s="1"/>
  <c r="K131" i="18"/>
  <c r="O129" i="18"/>
  <c r="M130" i="18"/>
  <c r="M131" i="18" s="1"/>
  <c r="M132" i="18" s="1"/>
  <c r="I130" i="18"/>
  <c r="O130" i="18" s="1"/>
  <c r="M123" i="18"/>
  <c r="M124" i="18" s="1"/>
  <c r="O124" i="18" s="1"/>
  <c r="K123" i="18"/>
  <c r="I123" i="18"/>
  <c r="M134" i="18" l="1"/>
  <c r="M133" i="18"/>
  <c r="O133" i="18" s="1"/>
  <c r="F76" i="18"/>
  <c r="H76" i="6" s="1"/>
  <c r="I63" i="18"/>
  <c r="M63" i="18" s="1"/>
  <c r="O84" i="18"/>
  <c r="F83" i="18"/>
  <c r="H81" i="6" s="1"/>
  <c r="O74" i="18"/>
  <c r="F74" i="18" s="1"/>
  <c r="H75" i="6" s="1"/>
  <c r="O137" i="18"/>
  <c r="H123" i="6" s="1"/>
  <c r="O139" i="18"/>
  <c r="M125" i="18"/>
  <c r="O125" i="18" s="1"/>
  <c r="O131" i="18"/>
  <c r="O81" i="18"/>
  <c r="F81" i="18" s="1"/>
  <c r="H80" i="6" s="1"/>
  <c r="G892" i="15"/>
  <c r="F914" i="15"/>
  <c r="G914" i="15" s="1"/>
  <c r="S390" i="15"/>
  <c r="O388" i="15" s="1"/>
  <c r="O381" i="15"/>
  <c r="Q382" i="15" s="1"/>
  <c r="F891" i="15"/>
  <c r="K132" i="18"/>
  <c r="O132" i="18" s="1"/>
  <c r="O134" i="18"/>
  <c r="O123" i="18"/>
  <c r="O122" i="18"/>
  <c r="C128" i="18"/>
  <c r="C137" i="18"/>
  <c r="C138" i="18"/>
  <c r="C143" i="18"/>
  <c r="C144" i="18"/>
  <c r="C121" i="18"/>
  <c r="C120" i="18"/>
  <c r="F137" i="18" l="1"/>
  <c r="O142" i="18"/>
  <c r="F138" i="18" s="1"/>
  <c r="H124" i="6" s="1"/>
  <c r="O126" i="18"/>
  <c r="F122" i="18" s="1"/>
  <c r="H121" i="6" s="1"/>
  <c r="G891" i="15"/>
  <c r="F913" i="15"/>
  <c r="G913" i="15" s="1"/>
  <c r="O135" i="18"/>
  <c r="F128" i="18" s="1"/>
  <c r="H122" i="6" s="1"/>
  <c r="S391" i="15"/>
  <c r="K29" i="18"/>
  <c r="M93" i="18" l="1"/>
  <c r="H125" i="6"/>
  <c r="H126" i="6"/>
  <c r="M53" i="18" l="1"/>
  <c r="M52" i="18"/>
  <c r="M51" i="18"/>
  <c r="M50" i="18"/>
  <c r="M49" i="18"/>
  <c r="K117" i="18"/>
  <c r="I117" i="18"/>
  <c r="O108" i="18"/>
  <c r="H92" i="6" s="1"/>
  <c r="O107" i="18"/>
  <c r="H91" i="6" s="1"/>
  <c r="N134" i="6"/>
  <c r="N133" i="6"/>
  <c r="N132" i="6"/>
  <c r="N131" i="6"/>
  <c r="N130" i="6"/>
  <c r="J57" i="6"/>
  <c r="J56" i="6"/>
  <c r="J55" i="6"/>
  <c r="J19" i="6"/>
  <c r="J18" i="6"/>
  <c r="L16" i="17"/>
  <c r="L20" i="17" s="1"/>
  <c r="L11" i="17"/>
  <c r="L9" i="17"/>
  <c r="L12" i="17"/>
  <c r="M54" i="18" l="1"/>
  <c r="F49" i="18" s="1"/>
  <c r="F107" i="18"/>
  <c r="N135" i="6"/>
  <c r="J19" i="21" s="1"/>
  <c r="F108" i="18"/>
  <c r="H66" i="6" l="1"/>
  <c r="H94" i="6"/>
  <c r="F117" i="18"/>
  <c r="I105" i="18" l="1"/>
  <c r="I104" i="18"/>
  <c r="I101" i="18"/>
  <c r="O101" i="18" s="1"/>
  <c r="I98" i="18"/>
  <c r="O98" i="18" s="1"/>
  <c r="O100" i="18"/>
  <c r="O99" i="18"/>
  <c r="I97" i="18"/>
  <c r="I96" i="18"/>
  <c r="O48" i="18"/>
  <c r="M48" i="18"/>
  <c r="M47" i="18"/>
  <c r="U12" i="18"/>
  <c r="Q16" i="18"/>
  <c r="F16" i="18" s="1"/>
  <c r="S14" i="18"/>
  <c r="F14" i="18" s="1"/>
  <c r="H19" i="6" s="1"/>
  <c r="O13" i="18"/>
  <c r="F13" i="18" s="1"/>
  <c r="H18" i="6" s="1"/>
  <c r="F12" i="18" l="1"/>
  <c r="Q17" i="18"/>
  <c r="O22" i="18" s="1"/>
  <c r="H21" i="8"/>
  <c r="S17" i="18" l="1"/>
  <c r="F17" i="18" s="1"/>
  <c r="F18" i="18" s="1"/>
  <c r="I19" i="18" s="1"/>
  <c r="Q22" i="18"/>
  <c r="I29" i="18"/>
  <c r="I41" i="18"/>
  <c r="I44" i="18" s="1"/>
  <c r="F9" i="6"/>
  <c r="L66" i="8" l="1"/>
  <c r="D30" i="20"/>
  <c r="D29" i="20"/>
  <c r="I35" i="18"/>
  <c r="K48" i="18" l="1"/>
  <c r="M34" i="18"/>
  <c r="Q34" i="18" s="1"/>
  <c r="D18" i="20" l="1"/>
  <c r="E5" i="18" l="1"/>
  <c r="E4" i="18"/>
  <c r="E3" i="18"/>
  <c r="H77" i="8" l="1"/>
  <c r="H32" i="8"/>
  <c r="H31" i="8"/>
  <c r="D6" i="21" l="1"/>
  <c r="D4" i="21"/>
  <c r="B18" i="21"/>
  <c r="B17" i="21"/>
  <c r="B16" i="21"/>
  <c r="B14" i="21"/>
  <c r="B15" i="21"/>
  <c r="A15" i="21"/>
  <c r="B13" i="21"/>
  <c r="B12" i="21"/>
  <c r="B11" i="21"/>
  <c r="A11" i="21"/>
  <c r="B10" i="21"/>
  <c r="A10" i="21"/>
  <c r="B4" i="6"/>
  <c r="H61" i="8"/>
  <c r="H60" i="8"/>
  <c r="H35" i="8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M39" i="18"/>
  <c r="L74" i="8" l="1"/>
  <c r="M74" i="8" s="1"/>
  <c r="N75" i="8" s="1"/>
  <c r="H64" i="8"/>
  <c r="B18" i="8" l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50" i="8" s="1"/>
  <c r="F327" i="15"/>
  <c r="F346" i="15" s="1"/>
  <c r="B53" i="8" l="1"/>
  <c r="B51" i="8"/>
  <c r="G450" i="19"/>
  <c r="H450" i="19" s="1"/>
  <c r="G449" i="19"/>
  <c r="H449" i="19" s="1"/>
  <c r="J88" i="6"/>
  <c r="C88" i="6"/>
  <c r="C103" i="18" s="1"/>
  <c r="G452" i="19"/>
  <c r="H452" i="19" s="1"/>
  <c r="G451" i="19"/>
  <c r="H451" i="19" s="1"/>
  <c r="E185" i="18"/>
  <c r="C87" i="6"/>
  <c r="B54" i="8" l="1"/>
  <c r="B57" i="8" s="1"/>
  <c r="B52" i="8"/>
  <c r="B61" i="8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3" i="8" s="1"/>
  <c r="B84" i="8" s="1"/>
  <c r="B56" i="8"/>
  <c r="B59" i="8" s="1"/>
  <c r="H453" i="19"/>
  <c r="B90" i="8" l="1"/>
  <c r="B91" i="8" s="1"/>
  <c r="B92" i="8" s="1"/>
  <c r="B93" i="8" s="1"/>
  <c r="B94" i="8" s="1"/>
  <c r="B96" i="8" s="1"/>
  <c r="B98" i="8" s="1"/>
  <c r="B85" i="8"/>
  <c r="B86" i="8" s="1"/>
  <c r="B87" i="8" s="1"/>
  <c r="B88" i="8" s="1"/>
  <c r="B55" i="8"/>
  <c r="B58" i="8" s="1"/>
  <c r="B60" i="8"/>
  <c r="C100" i="6"/>
  <c r="C151" i="18" s="1"/>
  <c r="F158" i="18"/>
  <c r="H108" i="6" s="1"/>
  <c r="J108" i="6"/>
  <c r="C108" i="6"/>
  <c r="C158" i="18" s="1"/>
  <c r="G429" i="19"/>
  <c r="G428" i="19"/>
  <c r="H428" i="19" s="1"/>
  <c r="F436" i="19"/>
  <c r="H433" i="19"/>
  <c r="H434" i="19" s="1"/>
  <c r="F152" i="18"/>
  <c r="H98" i="6" s="1"/>
  <c r="J103" i="6"/>
  <c r="C103" i="6"/>
  <c r="F851" i="15"/>
  <c r="G851" i="15" s="1"/>
  <c r="F852" i="15"/>
  <c r="G852" i="15" s="1"/>
  <c r="C99" i="6"/>
  <c r="J99" i="6"/>
  <c r="F835" i="15"/>
  <c r="G835" i="15" s="1"/>
  <c r="G836" i="15" s="1"/>
  <c r="J98" i="6"/>
  <c r="C98" i="6"/>
  <c r="C152" i="18" s="1"/>
  <c r="C97" i="6"/>
  <c r="J97" i="6"/>
  <c r="B95" i="8" l="1"/>
  <c r="B97" i="8" s="1"/>
  <c r="B99" i="8" s="1"/>
  <c r="G853" i="15"/>
  <c r="H429" i="19"/>
  <c r="G430" i="19" s="1"/>
  <c r="H430" i="19" s="1"/>
  <c r="H153" i="8"/>
  <c r="F801" i="15" s="1"/>
  <c r="H157" i="8"/>
  <c r="F818" i="15" s="1"/>
  <c r="F819" i="15" s="1"/>
  <c r="G819" i="15" s="1"/>
  <c r="F765" i="15"/>
  <c r="G765" i="15" s="1"/>
  <c r="G766" i="15" s="1"/>
  <c r="N105" i="6"/>
  <c r="M21" i="17"/>
  <c r="M20" i="17"/>
  <c r="M16" i="17"/>
  <c r="J21" i="17"/>
  <c r="J20" i="17"/>
  <c r="J16" i="17"/>
  <c r="J10" i="17"/>
  <c r="M11" i="17"/>
  <c r="M10" i="17"/>
  <c r="F729" i="15"/>
  <c r="G729" i="15" s="1"/>
  <c r="F731" i="15"/>
  <c r="G731" i="15" s="1"/>
  <c r="F730" i="15"/>
  <c r="G730" i="15" s="1"/>
  <c r="H163" i="8"/>
  <c r="H162" i="8"/>
  <c r="F726" i="15"/>
  <c r="G726" i="15" s="1"/>
  <c r="F725" i="15"/>
  <c r="G725" i="15" s="1"/>
  <c r="F724" i="15"/>
  <c r="G724" i="15" s="1"/>
  <c r="F723" i="15"/>
  <c r="G723" i="15" s="1"/>
  <c r="F748" i="15"/>
  <c r="G748" i="15" s="1"/>
  <c r="G409" i="19"/>
  <c r="J110" i="6"/>
  <c r="G388" i="19"/>
  <c r="J109" i="6"/>
  <c r="F712" i="15"/>
  <c r="H123" i="8"/>
  <c r="F711" i="15" s="1"/>
  <c r="G711" i="15" s="1"/>
  <c r="F710" i="15"/>
  <c r="G710" i="15" s="1"/>
  <c r="E712" i="15"/>
  <c r="F707" i="15"/>
  <c r="F706" i="15"/>
  <c r="F705" i="15"/>
  <c r="F704" i="15"/>
  <c r="G704" i="15" s="1"/>
  <c r="B100" i="8" l="1"/>
  <c r="B101" i="8" s="1"/>
  <c r="B102" i="8" s="1"/>
  <c r="B103" i="8" s="1"/>
  <c r="B104" i="8" s="1"/>
  <c r="B106" i="8" s="1"/>
  <c r="B107" i="8" s="1"/>
  <c r="G712" i="15"/>
  <c r="F713" i="15" s="1"/>
  <c r="G713" i="15" s="1"/>
  <c r="G714" i="15" s="1"/>
  <c r="H431" i="19"/>
  <c r="G818" i="15"/>
  <c r="G801" i="15"/>
  <c r="F802" i="15"/>
  <c r="G802" i="15" s="1"/>
  <c r="G727" i="15"/>
  <c r="G732" i="15"/>
  <c r="B110" i="8" l="1"/>
  <c r="B115" i="8" s="1"/>
  <c r="B120" i="8" s="1"/>
  <c r="B108" i="8"/>
  <c r="G803" i="15"/>
  <c r="G820" i="15"/>
  <c r="G735" i="15"/>
  <c r="G736" i="15" s="1"/>
  <c r="G737" i="15" s="1"/>
  <c r="B109" i="8" l="1"/>
  <c r="B111" i="8"/>
  <c r="B116" i="8" s="1"/>
  <c r="B121" i="8" s="1"/>
  <c r="J107" i="6"/>
  <c r="G347" i="19"/>
  <c r="H347" i="19" s="1"/>
  <c r="G346" i="19"/>
  <c r="H346" i="19" s="1"/>
  <c r="G345" i="19"/>
  <c r="H345" i="19" s="1"/>
  <c r="G300" i="19"/>
  <c r="H300" i="19" s="1"/>
  <c r="G299" i="19"/>
  <c r="H299" i="19" s="1"/>
  <c r="G298" i="19"/>
  <c r="G320" i="19" s="1"/>
  <c r="G340" i="19" s="1"/>
  <c r="G297" i="19"/>
  <c r="H297" i="19" s="1"/>
  <c r="H413" i="19"/>
  <c r="H414" i="19" s="1"/>
  <c r="H409" i="19"/>
  <c r="G410" i="19" s="1"/>
  <c r="H410" i="19" s="1"/>
  <c r="F395" i="19"/>
  <c r="H392" i="19"/>
  <c r="H393" i="19" s="1"/>
  <c r="H388" i="19"/>
  <c r="F374" i="19"/>
  <c r="H371" i="19"/>
  <c r="H372" i="19" s="1"/>
  <c r="H368" i="19"/>
  <c r="H367" i="19"/>
  <c r="H369" i="19" s="1"/>
  <c r="H350" i="19"/>
  <c r="H351" i="19" s="1"/>
  <c r="F333" i="19"/>
  <c r="H330" i="19"/>
  <c r="H331" i="19" s="1"/>
  <c r="H327" i="19"/>
  <c r="G326" i="19"/>
  <c r="H326" i="19" s="1"/>
  <c r="H325" i="19"/>
  <c r="F312" i="19"/>
  <c r="H308" i="19"/>
  <c r="H309" i="19" s="1"/>
  <c r="G305" i="19"/>
  <c r="H305" i="19" s="1"/>
  <c r="G304" i="19"/>
  <c r="H304" i="19" s="1"/>
  <c r="G303" i="19"/>
  <c r="F303" i="19"/>
  <c r="H288" i="19"/>
  <c r="H289" i="19" s="1"/>
  <c r="H285" i="19"/>
  <c r="G284" i="19"/>
  <c r="H284" i="19" s="1"/>
  <c r="H283" i="19"/>
  <c r="G280" i="19"/>
  <c r="H280" i="19" s="1"/>
  <c r="G279" i="19"/>
  <c r="H279" i="19" s="1"/>
  <c r="G278" i="19"/>
  <c r="H278" i="19" s="1"/>
  <c r="G277" i="19"/>
  <c r="H277" i="19" s="1"/>
  <c r="H266" i="19"/>
  <c r="H267" i="19" s="1"/>
  <c r="H263" i="19"/>
  <c r="H264" i="19" s="1"/>
  <c r="G260" i="19"/>
  <c r="H260" i="19" s="1"/>
  <c r="G259" i="19"/>
  <c r="H259" i="19" s="1"/>
  <c r="G258" i="19"/>
  <c r="H258" i="19" s="1"/>
  <c r="G257" i="19"/>
  <c r="H257" i="19" s="1"/>
  <c r="G249" i="19"/>
  <c r="F270" i="19" s="1"/>
  <c r="G246" i="19"/>
  <c r="H246" i="19" s="1"/>
  <c r="H247" i="19" s="1"/>
  <c r="G243" i="19"/>
  <c r="H243" i="19" s="1"/>
  <c r="G242" i="19"/>
  <c r="H242" i="19" s="1"/>
  <c r="G241" i="19"/>
  <c r="H241" i="19" s="1"/>
  <c r="G240" i="19"/>
  <c r="H240" i="19" s="1"/>
  <c r="H235" i="19"/>
  <c r="H234" i="19"/>
  <c r="H233" i="19"/>
  <c r="G227" i="19"/>
  <c r="G224" i="19"/>
  <c r="H224" i="19" s="1"/>
  <c r="G223" i="19"/>
  <c r="E223" i="19"/>
  <c r="G222" i="19"/>
  <c r="E222" i="19"/>
  <c r="G221" i="19"/>
  <c r="H221" i="19" s="1"/>
  <c r="G217" i="19"/>
  <c r="H217" i="19" s="1"/>
  <c r="K207" i="19"/>
  <c r="H207" i="19"/>
  <c r="H208" i="19" s="1"/>
  <c r="G204" i="19"/>
  <c r="H204" i="19" s="1"/>
  <c r="F204" i="19"/>
  <c r="F203" i="19"/>
  <c r="H203" i="19" s="1"/>
  <c r="G200" i="19"/>
  <c r="F200" i="19"/>
  <c r="G199" i="19"/>
  <c r="F199" i="19"/>
  <c r="G198" i="19"/>
  <c r="H198" i="19" s="1"/>
  <c r="G197" i="19"/>
  <c r="H197" i="19" s="1"/>
  <c r="G190" i="19"/>
  <c r="H187" i="19"/>
  <c r="H186" i="19"/>
  <c r="H185" i="19"/>
  <c r="G184" i="19"/>
  <c r="H184" i="19" s="1"/>
  <c r="H183" i="19"/>
  <c r="H180" i="19"/>
  <c r="G179" i="19"/>
  <c r="H179" i="19" s="1"/>
  <c r="G173" i="19"/>
  <c r="F211" i="19" s="1"/>
  <c r="H169" i="19"/>
  <c r="G166" i="19"/>
  <c r="H166" i="19" s="1"/>
  <c r="G165" i="19"/>
  <c r="H165" i="19" s="1"/>
  <c r="G164" i="19"/>
  <c r="H164" i="19" s="1"/>
  <c r="G163" i="19"/>
  <c r="H163" i="19" s="1"/>
  <c r="G158" i="19"/>
  <c r="G155" i="19"/>
  <c r="G170" i="19" s="1"/>
  <c r="H170" i="19" s="1"/>
  <c r="G154" i="19"/>
  <c r="H154" i="19" s="1"/>
  <c r="G151" i="19"/>
  <c r="H151" i="19" s="1"/>
  <c r="G150" i="19"/>
  <c r="H150" i="19" s="1"/>
  <c r="G149" i="19"/>
  <c r="H149" i="19" s="1"/>
  <c r="G148" i="19"/>
  <c r="H148" i="19" s="1"/>
  <c r="G137" i="19"/>
  <c r="H137" i="19" s="1"/>
  <c r="G134" i="19"/>
  <c r="H134" i="19" s="1"/>
  <c r="G133" i="19"/>
  <c r="H133" i="19" s="1"/>
  <c r="G132" i="19"/>
  <c r="H132" i="19" s="1"/>
  <c r="G131" i="19"/>
  <c r="H131" i="19" s="1"/>
  <c r="G126" i="19"/>
  <c r="G123" i="19"/>
  <c r="G140" i="19" s="1"/>
  <c r="H140" i="19" s="1"/>
  <c r="G122" i="19"/>
  <c r="H122" i="19" s="1"/>
  <c r="G121" i="19"/>
  <c r="G138" i="19" s="1"/>
  <c r="H138" i="19" s="1"/>
  <c r="G120" i="19"/>
  <c r="H120" i="19" s="1"/>
  <c r="G117" i="19"/>
  <c r="H117" i="19" s="1"/>
  <c r="G116" i="19"/>
  <c r="H116" i="19" s="1"/>
  <c r="G115" i="19"/>
  <c r="H115" i="19" s="1"/>
  <c r="G114" i="19"/>
  <c r="H114" i="19" s="1"/>
  <c r="G106" i="19"/>
  <c r="H106" i="19" s="1"/>
  <c r="G104" i="19"/>
  <c r="H104" i="19" s="1"/>
  <c r="G101" i="19"/>
  <c r="H101" i="19" s="1"/>
  <c r="G100" i="19"/>
  <c r="H100" i="19" s="1"/>
  <c r="G99" i="19"/>
  <c r="H99" i="19" s="1"/>
  <c r="G98" i="19"/>
  <c r="H98" i="19" s="1"/>
  <c r="G90" i="19"/>
  <c r="H90" i="19" s="1"/>
  <c r="H91" i="19" s="1"/>
  <c r="G87" i="19"/>
  <c r="H87" i="19" s="1"/>
  <c r="G86" i="19"/>
  <c r="H86" i="19" s="1"/>
  <c r="G85" i="19"/>
  <c r="H85" i="19" s="1"/>
  <c r="G84" i="19"/>
  <c r="H84" i="19" s="1"/>
  <c r="G76" i="19"/>
  <c r="H76" i="19" s="1"/>
  <c r="G75" i="19"/>
  <c r="H75" i="19" s="1"/>
  <c r="G74" i="19"/>
  <c r="H74" i="19" s="1"/>
  <c r="G73" i="19"/>
  <c r="H73" i="19" s="1"/>
  <c r="G70" i="19"/>
  <c r="H70" i="19" s="1"/>
  <c r="G69" i="19"/>
  <c r="H69" i="19" s="1"/>
  <c r="G68" i="19"/>
  <c r="H68" i="19" s="1"/>
  <c r="G67" i="19"/>
  <c r="H67" i="19" s="1"/>
  <c r="G62" i="19"/>
  <c r="G59" i="19"/>
  <c r="H59" i="19" s="1"/>
  <c r="G58" i="19"/>
  <c r="H58" i="19" s="1"/>
  <c r="G57" i="19"/>
  <c r="H57" i="19" s="1"/>
  <c r="G56" i="19"/>
  <c r="H56" i="19" s="1"/>
  <c r="H52" i="19"/>
  <c r="G44" i="19"/>
  <c r="H44" i="19" s="1"/>
  <c r="G43" i="19"/>
  <c r="H43" i="19" s="1"/>
  <c r="G42" i="19"/>
  <c r="H42" i="19" s="1"/>
  <c r="G41" i="19"/>
  <c r="H41" i="19" s="1"/>
  <c r="H37" i="19"/>
  <c r="G31" i="19"/>
  <c r="G28" i="19"/>
  <c r="H28" i="19" s="1"/>
  <c r="G27" i="19"/>
  <c r="H27" i="19" s="1"/>
  <c r="G26" i="19"/>
  <c r="H26" i="19" s="1"/>
  <c r="G25" i="19"/>
  <c r="H25" i="19" s="1"/>
  <c r="H21" i="19"/>
  <c r="H22" i="19" s="1"/>
  <c r="H14" i="19"/>
  <c r="H13" i="19"/>
  <c r="H12" i="19"/>
  <c r="H11" i="19"/>
  <c r="H10" i="19"/>
  <c r="H9" i="19"/>
  <c r="G143" i="19"/>
  <c r="H303" i="19" l="1"/>
  <c r="H306" i="19" s="1"/>
  <c r="H200" i="19"/>
  <c r="H199" i="19"/>
  <c r="H201" i="19" s="1"/>
  <c r="H223" i="19"/>
  <c r="B123" i="8"/>
  <c r="B124" i="8" s="1"/>
  <c r="B125" i="8" s="1"/>
  <c r="B126" i="8" s="1"/>
  <c r="B114" i="8"/>
  <c r="B119" i="8" s="1"/>
  <c r="H123" i="19"/>
  <c r="H155" i="19"/>
  <c r="H156" i="19" s="1"/>
  <c r="G105" i="19"/>
  <c r="H105" i="19" s="1"/>
  <c r="H107" i="19" s="1"/>
  <c r="G139" i="19"/>
  <c r="H139" i="19" s="1"/>
  <c r="H141" i="19" s="1"/>
  <c r="H121" i="19"/>
  <c r="H222" i="19"/>
  <c r="H225" i="19" s="1"/>
  <c r="H226" i="19" s="1"/>
  <c r="H227" i="19" s="1"/>
  <c r="H228" i="19" s="1"/>
  <c r="H286" i="19"/>
  <c r="H29" i="19"/>
  <c r="H30" i="19" s="1"/>
  <c r="H31" i="19" s="1"/>
  <c r="H32" i="19" s="1"/>
  <c r="H188" i="19"/>
  <c r="H60" i="19"/>
  <c r="H61" i="19" s="1"/>
  <c r="H62" i="19" s="1"/>
  <c r="H63" i="19" s="1"/>
  <c r="H118" i="19"/>
  <c r="H205" i="19"/>
  <c r="H236" i="19"/>
  <c r="H244" i="19"/>
  <c r="H261" i="19"/>
  <c r="H269" i="19" s="1"/>
  <c r="H270" i="19" s="1"/>
  <c r="H271" i="19" s="1"/>
  <c r="H281" i="19"/>
  <c r="H328" i="19"/>
  <c r="H15" i="19"/>
  <c r="H16" i="19" s="1"/>
  <c r="H17" i="19" s="1"/>
  <c r="H88" i="19"/>
  <c r="H92" i="19" s="1"/>
  <c r="H152" i="19"/>
  <c r="H181" i="19"/>
  <c r="H411" i="19"/>
  <c r="G389" i="19"/>
  <c r="H389" i="19" s="1"/>
  <c r="H390" i="19" s="1"/>
  <c r="H298" i="19"/>
  <c r="H301" i="19" s="1"/>
  <c r="G322" i="19"/>
  <c r="G342" i="19" s="1"/>
  <c r="G364" i="19" s="1"/>
  <c r="F292" i="19"/>
  <c r="H340" i="19"/>
  <c r="G362" i="19"/>
  <c r="H71" i="19"/>
  <c r="H171" i="19"/>
  <c r="H45" i="19"/>
  <c r="H46" i="19" s="1"/>
  <c r="H77" i="19"/>
  <c r="H102" i="19"/>
  <c r="H135" i="19"/>
  <c r="H167" i="19"/>
  <c r="H348" i="19"/>
  <c r="G319" i="19"/>
  <c r="G321" i="19"/>
  <c r="H320" i="19"/>
  <c r="F353" i="19"/>
  <c r="F416" i="19"/>
  <c r="G47" i="19"/>
  <c r="G79" i="19"/>
  <c r="G93" i="19"/>
  <c r="G109" i="19"/>
  <c r="J73" i="6"/>
  <c r="C72" i="6"/>
  <c r="F93" i="18"/>
  <c r="H124" i="19" l="1"/>
  <c r="H125" i="19" s="1"/>
  <c r="H126" i="19" s="1"/>
  <c r="H127" i="19" s="1"/>
  <c r="H210" i="19"/>
  <c r="H211" i="19" s="1"/>
  <c r="H212" i="19" s="1"/>
  <c r="B145" i="8"/>
  <c r="B127" i="8"/>
  <c r="H291" i="19"/>
  <c r="H292" i="19" s="1"/>
  <c r="H293" i="19" s="1"/>
  <c r="H311" i="19"/>
  <c r="H312" i="19" s="1"/>
  <c r="H313" i="19" s="1"/>
  <c r="H157" i="19"/>
  <c r="H158" i="19" s="1"/>
  <c r="H159" i="19" s="1"/>
  <c r="H189" i="19"/>
  <c r="H190" i="19" s="1"/>
  <c r="H191" i="19" s="1"/>
  <c r="H248" i="19"/>
  <c r="H249" i="19" s="1"/>
  <c r="H250" i="19" s="1"/>
  <c r="H108" i="19"/>
  <c r="H109" i="19" s="1"/>
  <c r="H110" i="19" s="1"/>
  <c r="H93" i="19"/>
  <c r="H94" i="19" s="1"/>
  <c r="H142" i="19"/>
  <c r="H143" i="19" s="1"/>
  <c r="H144" i="19" s="1"/>
  <c r="H78" i="19"/>
  <c r="H79" i="19" s="1"/>
  <c r="H80" i="19" s="1"/>
  <c r="H342" i="19"/>
  <c r="H322" i="19"/>
  <c r="G339" i="19"/>
  <c r="H319" i="19"/>
  <c r="G341" i="19"/>
  <c r="H321" i="19"/>
  <c r="H172" i="19"/>
  <c r="H173" i="19" s="1"/>
  <c r="H174" i="19" s="1"/>
  <c r="G383" i="19"/>
  <c r="H362" i="19"/>
  <c r="G385" i="19"/>
  <c r="H364" i="19"/>
  <c r="H373" i="19" s="1"/>
  <c r="H47" i="19"/>
  <c r="H48" i="19" s="1"/>
  <c r="G446" i="19" l="1"/>
  <c r="H446" i="19" s="1"/>
  <c r="G465" i="19"/>
  <c r="H465" i="19" s="1"/>
  <c r="H474" i="19" s="1"/>
  <c r="H475" i="19" s="1"/>
  <c r="H476" i="19" s="1"/>
  <c r="G444" i="19"/>
  <c r="H444" i="19" s="1"/>
  <c r="G463" i="19"/>
  <c r="H463" i="19" s="1"/>
  <c r="B128" i="8"/>
  <c r="B146" i="8"/>
  <c r="B157" i="8" s="1"/>
  <c r="G404" i="19"/>
  <c r="H404" i="19" s="1"/>
  <c r="G423" i="19"/>
  <c r="H423" i="19" s="1"/>
  <c r="G425" i="19"/>
  <c r="H425" i="19" s="1"/>
  <c r="H435" i="19" s="1"/>
  <c r="G406" i="19"/>
  <c r="H406" i="19" s="1"/>
  <c r="H415" i="19" s="1"/>
  <c r="H323" i="19"/>
  <c r="H332" i="19" s="1"/>
  <c r="H333" i="19" s="1"/>
  <c r="H334" i="19" s="1"/>
  <c r="H383" i="19"/>
  <c r="G361" i="19"/>
  <c r="H339" i="19"/>
  <c r="H385" i="19"/>
  <c r="H394" i="19" s="1"/>
  <c r="G363" i="19"/>
  <c r="H341" i="19"/>
  <c r="H374" i="19"/>
  <c r="H375" i="19" s="1"/>
  <c r="B129" i="8" l="1"/>
  <c r="B147" i="8"/>
  <c r="B158" i="8" s="1"/>
  <c r="H436" i="19"/>
  <c r="H437" i="19" s="1"/>
  <c r="L108" i="6" s="1"/>
  <c r="N108" i="6" s="1"/>
  <c r="H343" i="19"/>
  <c r="H352" i="19" s="1"/>
  <c r="H353" i="19" s="1"/>
  <c r="H354" i="19" s="1"/>
  <c r="L107" i="6" s="1"/>
  <c r="H395" i="19"/>
  <c r="H396" i="19" s="1"/>
  <c r="L110" i="6" s="1"/>
  <c r="H363" i="19"/>
  <c r="G384" i="19"/>
  <c r="H416" i="19"/>
  <c r="H417" i="19" s="1"/>
  <c r="G382" i="19"/>
  <c r="H361" i="19"/>
  <c r="G445" i="19" l="1"/>
  <c r="H445" i="19" s="1"/>
  <c r="G464" i="19"/>
  <c r="H464" i="19" s="1"/>
  <c r="G443" i="19"/>
  <c r="H443" i="19" s="1"/>
  <c r="H447" i="19" s="1"/>
  <c r="H456" i="19" s="1"/>
  <c r="H457" i="19" s="1"/>
  <c r="H458" i="19" s="1"/>
  <c r="L88" i="6" s="1"/>
  <c r="G462" i="19"/>
  <c r="H462" i="19" s="1"/>
  <c r="H466" i="19" s="1"/>
  <c r="B130" i="8"/>
  <c r="B148" i="8"/>
  <c r="B159" i="8" s="1"/>
  <c r="B161" i="8" s="1"/>
  <c r="B162" i="8" s="1"/>
  <c r="B163" i="8" s="1"/>
  <c r="B164" i="8" s="1"/>
  <c r="B165" i="8" s="1"/>
  <c r="B166" i="8" s="1"/>
  <c r="B167" i="8" s="1"/>
  <c r="B168" i="8" s="1"/>
  <c r="G422" i="19"/>
  <c r="H422" i="19" s="1"/>
  <c r="G403" i="19"/>
  <c r="H403" i="19" s="1"/>
  <c r="G424" i="19"/>
  <c r="H424" i="19" s="1"/>
  <c r="G405" i="19"/>
  <c r="H405" i="19" s="1"/>
  <c r="H382" i="19"/>
  <c r="H384" i="19"/>
  <c r="H365" i="19"/>
  <c r="B131" i="8" l="1"/>
  <c r="B149" i="8"/>
  <c r="H426" i="19"/>
  <c r="H386" i="19"/>
  <c r="H407" i="19"/>
  <c r="B132" i="8" l="1"/>
  <c r="B150" i="8"/>
  <c r="H72" i="6"/>
  <c r="H43" i="8"/>
  <c r="H44" i="8" s="1"/>
  <c r="J90" i="6"/>
  <c r="F580" i="15"/>
  <c r="F579" i="15"/>
  <c r="G579" i="15" s="1"/>
  <c r="F576" i="15"/>
  <c r="G576" i="15" s="1"/>
  <c r="F575" i="15"/>
  <c r="G575" i="15" s="1"/>
  <c r="F574" i="15"/>
  <c r="G574" i="15" s="1"/>
  <c r="F573" i="15"/>
  <c r="G573" i="15" s="1"/>
  <c r="O106" i="18"/>
  <c r="F106" i="18" s="1"/>
  <c r="O105" i="18"/>
  <c r="F105" i="18" s="1"/>
  <c r="C105" i="18"/>
  <c r="C90" i="6" s="1"/>
  <c r="J72" i="6"/>
  <c r="F385" i="15"/>
  <c r="G385" i="15" s="1"/>
  <c r="F383" i="15"/>
  <c r="F382" i="15"/>
  <c r="F291" i="15"/>
  <c r="F290" i="15"/>
  <c r="E289" i="15"/>
  <c r="J89" i="6"/>
  <c r="J87" i="6"/>
  <c r="F563" i="15"/>
  <c r="G563" i="15" s="1"/>
  <c r="F562" i="15"/>
  <c r="G562" i="15" s="1"/>
  <c r="F559" i="15"/>
  <c r="F558" i="15"/>
  <c r="G558" i="15" s="1"/>
  <c r="F557" i="15"/>
  <c r="G557" i="15" s="1"/>
  <c r="F556" i="15"/>
  <c r="G556" i="15" s="1"/>
  <c r="F548" i="15"/>
  <c r="G548" i="15" s="1"/>
  <c r="G549" i="15" s="1"/>
  <c r="F545" i="15"/>
  <c r="F544" i="15"/>
  <c r="F543" i="15"/>
  <c r="F542" i="15"/>
  <c r="J68" i="6"/>
  <c r="J67" i="6"/>
  <c r="F143" i="15"/>
  <c r="G143" i="15" s="1"/>
  <c r="F177" i="15"/>
  <c r="D45" i="17"/>
  <c r="E45" i="17"/>
  <c r="I45" i="17" s="1"/>
  <c r="J53" i="6"/>
  <c r="J52" i="6"/>
  <c r="J51" i="6"/>
  <c r="J31" i="6"/>
  <c r="J32" i="6"/>
  <c r="J33" i="6"/>
  <c r="J49" i="6"/>
  <c r="J48" i="6"/>
  <c r="J47" i="6"/>
  <c r="C42" i="6"/>
  <c r="J45" i="6"/>
  <c r="J44" i="6"/>
  <c r="J43" i="6"/>
  <c r="J41" i="6"/>
  <c r="J40" i="6"/>
  <c r="J39" i="6"/>
  <c r="J37" i="6"/>
  <c r="J36" i="6"/>
  <c r="J35" i="6"/>
  <c r="J24" i="6"/>
  <c r="J27" i="6"/>
  <c r="H17" i="6"/>
  <c r="I182" i="18"/>
  <c r="I183" i="18" s="1"/>
  <c r="B178" i="18"/>
  <c r="C177" i="18"/>
  <c r="AA57" i="18"/>
  <c r="N110" i="6"/>
  <c r="C160" i="18"/>
  <c r="C110" i="6" s="1"/>
  <c r="C159" i="18"/>
  <c r="C109" i="6" s="1"/>
  <c r="C157" i="18"/>
  <c r="C156" i="18"/>
  <c r="F154" i="18"/>
  <c r="C154" i="18"/>
  <c r="F153" i="18"/>
  <c r="C153" i="18"/>
  <c r="F151" i="18"/>
  <c r="F150" i="18"/>
  <c r="H99" i="6" s="1"/>
  <c r="C150" i="18"/>
  <c r="C149" i="18"/>
  <c r="C89" i="6"/>
  <c r="O97" i="18"/>
  <c r="K87" i="18"/>
  <c r="F104" i="18"/>
  <c r="H89" i="6" s="1"/>
  <c r="C96" i="18"/>
  <c r="C95" i="18"/>
  <c r="F92" i="18"/>
  <c r="H79" i="6" s="1"/>
  <c r="C92" i="18"/>
  <c r="O89" i="18"/>
  <c r="O88" i="18"/>
  <c r="C87" i="18"/>
  <c r="C86" i="18"/>
  <c r="O72" i="18"/>
  <c r="H73" i="6"/>
  <c r="C69" i="18"/>
  <c r="C67" i="18"/>
  <c r="C66" i="18"/>
  <c r="C65" i="18"/>
  <c r="AC57" i="18"/>
  <c r="E57" i="18"/>
  <c r="C57" i="18"/>
  <c r="Z56" i="18"/>
  <c r="AA56" i="18" s="1"/>
  <c r="Z47" i="18"/>
  <c r="C46" i="18"/>
  <c r="O41" i="18"/>
  <c r="I39" i="18"/>
  <c r="O39" i="18" s="1"/>
  <c r="Q19" i="18" s="1"/>
  <c r="S19" i="18"/>
  <c r="I37" i="18"/>
  <c r="O37" i="18" s="1"/>
  <c r="I36" i="18"/>
  <c r="O36" i="18" s="1"/>
  <c r="AA35" i="18"/>
  <c r="O35" i="18"/>
  <c r="Q33" i="18"/>
  <c r="M19" i="18"/>
  <c r="C31" i="18"/>
  <c r="C29" i="18"/>
  <c r="C28" i="18"/>
  <c r="Q21" i="18"/>
  <c r="F20" i="18" s="1"/>
  <c r="AB16" i="18"/>
  <c r="C15" i="18"/>
  <c r="C12" i="18"/>
  <c r="C10" i="18"/>
  <c r="E44" i="17"/>
  <c r="J44" i="17" s="1"/>
  <c r="D44" i="17"/>
  <c r="C44" i="17"/>
  <c r="I40" i="17"/>
  <c r="J40" i="17" s="1"/>
  <c r="E40" i="17"/>
  <c r="D40" i="17"/>
  <c r="C40" i="17"/>
  <c r="E36" i="17"/>
  <c r="K36" i="17" s="1"/>
  <c r="D36" i="17"/>
  <c r="E35" i="17"/>
  <c r="K35" i="17" s="1"/>
  <c r="D35" i="17"/>
  <c r="I35" i="17" s="1"/>
  <c r="E34" i="17"/>
  <c r="L34" i="17" s="1"/>
  <c r="D34" i="17"/>
  <c r="E33" i="17"/>
  <c r="L33" i="17" s="1"/>
  <c r="D33" i="17"/>
  <c r="I33" i="17" s="1"/>
  <c r="E30" i="17"/>
  <c r="Q21" i="17"/>
  <c r="P21" i="17"/>
  <c r="O21" i="17"/>
  <c r="N21" i="17"/>
  <c r="K21" i="17"/>
  <c r="F21" i="17"/>
  <c r="Q20" i="17"/>
  <c r="P20" i="17"/>
  <c r="O20" i="17"/>
  <c r="N20" i="17"/>
  <c r="K20" i="17"/>
  <c r="F20" i="17"/>
  <c r="Q16" i="17"/>
  <c r="P16" i="17"/>
  <c r="O16" i="17"/>
  <c r="N16" i="17"/>
  <c r="K16" i="17"/>
  <c r="F16" i="17"/>
  <c r="K12" i="17"/>
  <c r="F12" i="17"/>
  <c r="C12" i="17"/>
  <c r="C36" i="17" s="1"/>
  <c r="Q11" i="17"/>
  <c r="P11" i="17"/>
  <c r="O11" i="17"/>
  <c r="N11" i="17"/>
  <c r="K11" i="17"/>
  <c r="F11" i="17"/>
  <c r="C35" i="17"/>
  <c r="Q10" i="17"/>
  <c r="P10" i="17"/>
  <c r="O10" i="17"/>
  <c r="N10" i="17"/>
  <c r="K10" i="17"/>
  <c r="G10" i="17"/>
  <c r="F10" i="17"/>
  <c r="Q9" i="17"/>
  <c r="P9" i="17"/>
  <c r="O9" i="17"/>
  <c r="N9" i="17"/>
  <c r="K9" i="17"/>
  <c r="H9" i="17"/>
  <c r="G9" i="17"/>
  <c r="F9" i="17"/>
  <c r="N6" i="17"/>
  <c r="E6" i="17"/>
  <c r="F72" i="18" l="1"/>
  <c r="H74" i="6" s="1"/>
  <c r="I61" i="18"/>
  <c r="M61" i="18" s="1"/>
  <c r="F60" i="18" s="1"/>
  <c r="H84" i="6" s="1"/>
  <c r="G383" i="15"/>
  <c r="F384" i="15"/>
  <c r="G384" i="15" s="1"/>
  <c r="S9" i="17"/>
  <c r="U9" i="17" s="1"/>
  <c r="K34" i="17"/>
  <c r="J45" i="17"/>
  <c r="F33" i="18"/>
  <c r="B133" i="8"/>
  <c r="B151" i="8"/>
  <c r="G577" i="15"/>
  <c r="H90" i="6"/>
  <c r="G565" i="15"/>
  <c r="G20" i="17"/>
  <c r="G16" i="17"/>
  <c r="S16" i="17" s="1"/>
  <c r="U16" i="17" s="1"/>
  <c r="F33" i="17"/>
  <c r="G33" i="17" s="1"/>
  <c r="H41" i="6" s="1"/>
  <c r="L35" i="17"/>
  <c r="L36" i="17"/>
  <c r="K33" i="17"/>
  <c r="I44" i="17"/>
  <c r="O96" i="18"/>
  <c r="O102" i="18" s="1"/>
  <c r="T9" i="17"/>
  <c r="H40" i="6" s="1"/>
  <c r="F36" i="17"/>
  <c r="G36" i="17" s="1"/>
  <c r="H33" i="6" s="1"/>
  <c r="I9" i="17"/>
  <c r="F35" i="17"/>
  <c r="G35" i="17" s="1"/>
  <c r="H37" i="6" s="1"/>
  <c r="I12" i="17"/>
  <c r="T12" i="17"/>
  <c r="F34" i="17"/>
  <c r="G34" i="17" s="1"/>
  <c r="H45" i="6" s="1"/>
  <c r="I10" i="17"/>
  <c r="T11" i="17"/>
  <c r="U12" i="17"/>
  <c r="AA16" i="18"/>
  <c r="I11" i="17"/>
  <c r="O29" i="18"/>
  <c r="F29" i="18" s="1"/>
  <c r="O40" i="18"/>
  <c r="F35" i="18" s="1"/>
  <c r="O43" i="18"/>
  <c r="F41" i="18" s="1"/>
  <c r="J33" i="17"/>
  <c r="J35" i="17"/>
  <c r="S10" i="17"/>
  <c r="U10" i="17" s="1"/>
  <c r="I36" i="17"/>
  <c r="S11" i="17"/>
  <c r="U11" i="17" s="1"/>
  <c r="T10" i="17"/>
  <c r="I87" i="18"/>
  <c r="O87" i="18" s="1"/>
  <c r="O90" i="18" s="1"/>
  <c r="F87" i="18" s="1"/>
  <c r="I34" i="17"/>
  <c r="M33" i="17" l="1"/>
  <c r="N33" i="17" s="1"/>
  <c r="H39" i="6" s="1"/>
  <c r="F44" i="17"/>
  <c r="M44" i="17" s="1"/>
  <c r="N44" i="17" s="1"/>
  <c r="B134" i="8"/>
  <c r="B152" i="8"/>
  <c r="F96" i="18"/>
  <c r="H87" i="6" s="1"/>
  <c r="I103" i="18"/>
  <c r="F103" i="18" s="1"/>
  <c r="H88" i="6" s="1"/>
  <c r="N88" i="6" s="1"/>
  <c r="I16" i="17"/>
  <c r="M40" i="17"/>
  <c r="N40" i="17" s="1"/>
  <c r="H47" i="6" s="1"/>
  <c r="T20" i="17"/>
  <c r="S20" i="17"/>
  <c r="U20" i="17" s="1"/>
  <c r="V11" i="17"/>
  <c r="H36" i="6" s="1"/>
  <c r="T16" i="17"/>
  <c r="V16" i="17" s="1"/>
  <c r="H48" i="6" s="1"/>
  <c r="I20" i="17"/>
  <c r="H22" i="6"/>
  <c r="O19" i="18"/>
  <c r="H24" i="6"/>
  <c r="K19" i="18"/>
  <c r="H27" i="6"/>
  <c r="F40" i="17"/>
  <c r="G40" i="17" s="1"/>
  <c r="H49" i="6" s="1"/>
  <c r="I47" i="18"/>
  <c r="I48" i="18" s="1"/>
  <c r="O44" i="18"/>
  <c r="F44" i="18" s="1"/>
  <c r="V9" i="17"/>
  <c r="M35" i="17"/>
  <c r="N35" i="17" s="1"/>
  <c r="H35" i="6" s="1"/>
  <c r="V12" i="17"/>
  <c r="H32" i="6" s="1"/>
  <c r="J34" i="17"/>
  <c r="M34" i="17" s="1"/>
  <c r="N34" i="17" s="1"/>
  <c r="H43" i="6" s="1"/>
  <c r="V10" i="17"/>
  <c r="H44" i="6" s="1"/>
  <c r="J36" i="17"/>
  <c r="M36" i="17" s="1"/>
  <c r="N36" i="17" s="1"/>
  <c r="H31" i="6" s="1"/>
  <c r="J101" i="6"/>
  <c r="G749" i="15"/>
  <c r="J100" i="6"/>
  <c r="F693" i="15"/>
  <c r="G693" i="15" s="1"/>
  <c r="F691" i="15"/>
  <c r="G691" i="15" s="1"/>
  <c r="J74" i="6"/>
  <c r="F421" i="15"/>
  <c r="F419" i="15"/>
  <c r="F403" i="15"/>
  <c r="G403" i="15" s="1"/>
  <c r="F402" i="15"/>
  <c r="G402" i="15" s="1"/>
  <c r="F365" i="15"/>
  <c r="G365" i="15" s="1"/>
  <c r="F328" i="15"/>
  <c r="G328" i="15" s="1"/>
  <c r="G419" i="15" l="1"/>
  <c r="F438" i="15"/>
  <c r="G421" i="15"/>
  <c r="F439" i="15"/>
  <c r="G439" i="15" s="1"/>
  <c r="G44" i="17"/>
  <c r="T21" i="17"/>
  <c r="I21" i="17"/>
  <c r="S21" i="17"/>
  <c r="U21" i="17" s="1"/>
  <c r="B135" i="8"/>
  <c r="B153" i="8"/>
  <c r="V20" i="17"/>
  <c r="H52" i="6" s="1"/>
  <c r="Q48" i="18"/>
  <c r="Q47" i="18"/>
  <c r="U19" i="18"/>
  <c r="W19" i="18" s="1"/>
  <c r="F19" i="18" s="1"/>
  <c r="H23" i="6" s="1"/>
  <c r="F420" i="15"/>
  <c r="G420" i="15" s="1"/>
  <c r="G404" i="15"/>
  <c r="G366" i="15"/>
  <c r="F347" i="15"/>
  <c r="F253" i="15"/>
  <c r="J64" i="6"/>
  <c r="F194" i="15"/>
  <c r="F212" i="15" s="1"/>
  <c r="F310" i="15"/>
  <c r="G310" i="15" s="1"/>
  <c r="G422" i="15" l="1"/>
  <c r="G438" i="15"/>
  <c r="G441" i="15" s="1"/>
  <c r="G457" i="15"/>
  <c r="G459" i="15" s="1"/>
  <c r="G212" i="15"/>
  <c r="G231" i="15"/>
  <c r="F48" i="18"/>
  <c r="H65" i="6" s="1"/>
  <c r="I67" i="18"/>
  <c r="M67" i="18" s="1"/>
  <c r="F67" i="18" s="1"/>
  <c r="H68" i="6" s="1"/>
  <c r="G45" i="17"/>
  <c r="M45" i="17"/>
  <c r="N45" i="17" s="1"/>
  <c r="V21" i="17"/>
  <c r="H56" i="6" s="1"/>
  <c r="B136" i="8"/>
  <c r="B154" i="8"/>
  <c r="F47" i="18"/>
  <c r="H64" i="6" s="1"/>
  <c r="I66" i="18"/>
  <c r="M66" i="18" s="1"/>
  <c r="F66" i="18" s="1"/>
  <c r="H67" i="6" s="1"/>
  <c r="J17" i="6"/>
  <c r="F35" i="15"/>
  <c r="G35" i="15" s="1"/>
  <c r="F34" i="15"/>
  <c r="G34" i="15" s="1"/>
  <c r="F33" i="15"/>
  <c r="G33" i="15" s="1"/>
  <c r="F30" i="15"/>
  <c r="F29" i="15"/>
  <c r="G29" i="15" s="1"/>
  <c r="F28" i="15"/>
  <c r="G28" i="15" s="1"/>
  <c r="F27" i="15"/>
  <c r="F46" i="15"/>
  <c r="G46" i="15" s="1"/>
  <c r="F47" i="15"/>
  <c r="G47" i="15" s="1"/>
  <c r="G27" i="15" l="1"/>
  <c r="F7" i="15"/>
  <c r="G30" i="15"/>
  <c r="F8" i="15"/>
  <c r="H51" i="6"/>
  <c r="H55" i="6"/>
  <c r="H53" i="6"/>
  <c r="H57" i="6"/>
  <c r="B137" i="8"/>
  <c r="B155" i="8"/>
  <c r="G36" i="15"/>
  <c r="I57" i="18"/>
  <c r="I58" i="18" s="1"/>
  <c r="F57" i="18" s="1"/>
  <c r="H69" i="6" s="1"/>
  <c r="G48" i="15"/>
  <c r="G53" i="15" s="1"/>
  <c r="J23" i="6"/>
  <c r="J22" i="6"/>
  <c r="J69" i="6"/>
  <c r="J65" i="6"/>
  <c r="G31" i="15" l="1"/>
  <c r="G39" i="15" s="1"/>
  <c r="F17" i="15"/>
  <c r="G17" i="15" s="1"/>
  <c r="G7" i="15"/>
  <c r="F18" i="15"/>
  <c r="G18" i="15" s="1"/>
  <c r="G8" i="15"/>
  <c r="B138" i="8"/>
  <c r="B139" i="8" s="1"/>
  <c r="B140" i="8" s="1"/>
  <c r="B141" i="8" s="1"/>
  <c r="B142" i="8" s="1"/>
  <c r="B143" i="8" s="1"/>
  <c r="B144" i="8" s="1"/>
  <c r="B156" i="8"/>
  <c r="F652" i="15"/>
  <c r="F651" i="15"/>
  <c r="F650" i="15"/>
  <c r="F669" i="15" s="1"/>
  <c r="G669" i="15" s="1"/>
  <c r="F633" i="15"/>
  <c r="F617" i="15"/>
  <c r="G617" i="15" s="1"/>
  <c r="F616" i="15"/>
  <c r="G616" i="15" s="1"/>
  <c r="F615" i="15"/>
  <c r="G615" i="15" s="1"/>
  <c r="F614" i="15"/>
  <c r="G614" i="15" s="1"/>
  <c r="F597" i="15"/>
  <c r="G597" i="15" s="1"/>
  <c r="F596" i="15"/>
  <c r="G596" i="15" s="1"/>
  <c r="F160" i="15"/>
  <c r="G160" i="15" s="1"/>
  <c r="F531" i="15"/>
  <c r="G531" i="15" s="1"/>
  <c r="F530" i="15"/>
  <c r="G530" i="15" s="1"/>
  <c r="F330" i="15"/>
  <c r="F349" i="15" s="1"/>
  <c r="F329" i="15"/>
  <c r="F348" i="15" s="1"/>
  <c r="F309" i="15"/>
  <c r="G177" i="15"/>
  <c r="F125" i="15"/>
  <c r="G125" i="15" s="1"/>
  <c r="F124" i="15"/>
  <c r="G124" i="15" s="1"/>
  <c r="F108" i="15"/>
  <c r="G108" i="15" s="1"/>
  <c r="F106" i="15"/>
  <c r="G106" i="15" s="1"/>
  <c r="F103" i="15"/>
  <c r="G103" i="15" s="1"/>
  <c r="F102" i="15"/>
  <c r="G102" i="15" s="1"/>
  <c r="F101" i="15"/>
  <c r="G101" i="15" s="1"/>
  <c r="F100" i="15"/>
  <c r="G100" i="15" s="1"/>
  <c r="F90" i="15"/>
  <c r="G90" i="15" s="1"/>
  <c r="G91" i="15" s="1"/>
  <c r="L60" i="2"/>
  <c r="F76" i="15"/>
  <c r="G76" i="15" s="1"/>
  <c r="G77" i="15" s="1"/>
  <c r="F60" i="15"/>
  <c r="F73" i="15" s="1"/>
  <c r="F59" i="15"/>
  <c r="G59" i="15" s="1"/>
  <c r="G651" i="15" l="1"/>
  <c r="F670" i="15"/>
  <c r="G670" i="15" s="1"/>
  <c r="G650" i="15"/>
  <c r="F672" i="15"/>
  <c r="G672" i="15" s="1"/>
  <c r="G9" i="15"/>
  <c r="G10" i="15" s="1"/>
  <c r="G11" i="15" s="1"/>
  <c r="G12" i="15" s="1"/>
  <c r="L19" i="6" s="1"/>
  <c r="N19" i="6" s="1"/>
  <c r="G19" i="15"/>
  <c r="G20" i="15" s="1"/>
  <c r="G21" i="15" s="1"/>
  <c r="G22" i="15" s="1"/>
  <c r="L18" i="6" s="1"/>
  <c r="N18" i="6" s="1"/>
  <c r="G40" i="15"/>
  <c r="G329" i="15"/>
  <c r="G330" i="15"/>
  <c r="G327" i="15"/>
  <c r="G652" i="15"/>
  <c r="G653" i="15" s="1"/>
  <c r="G60" i="15"/>
  <c r="G61" i="15" s="1"/>
  <c r="G66" i="15" s="1"/>
  <c r="G67" i="15" s="1"/>
  <c r="G68" i="15" s="1"/>
  <c r="L23" i="6" s="1"/>
  <c r="G618" i="15"/>
  <c r="G532" i="15"/>
  <c r="G598" i="15"/>
  <c r="F196" i="15"/>
  <c r="F214" i="15" s="1"/>
  <c r="F272" i="15"/>
  <c r="G309" i="15"/>
  <c r="G311" i="15" s="1"/>
  <c r="G194" i="15"/>
  <c r="G126" i="15"/>
  <c r="F118" i="15"/>
  <c r="F120" i="15"/>
  <c r="F119" i="15"/>
  <c r="F121" i="15"/>
  <c r="G54" i="15"/>
  <c r="G55" i="15" s="1"/>
  <c r="L22" i="6" s="1"/>
  <c r="L114" i="6" s="1"/>
  <c r="N114" i="6" s="1"/>
  <c r="F87" i="15"/>
  <c r="G73" i="15"/>
  <c r="F72" i="15"/>
  <c r="L326" i="2"/>
  <c r="L325" i="2"/>
  <c r="L324" i="2"/>
  <c r="L323" i="2"/>
  <c r="L320" i="2"/>
  <c r="L319" i="2"/>
  <c r="L318" i="2"/>
  <c r="L317" i="2"/>
  <c r="L316" i="2"/>
  <c r="L315" i="2"/>
  <c r="L308" i="2"/>
  <c r="L307" i="2"/>
  <c r="L306" i="2"/>
  <c r="L305" i="2"/>
  <c r="L302" i="2"/>
  <c r="L301" i="2"/>
  <c r="L300" i="2"/>
  <c r="L299" i="2"/>
  <c r="L298" i="2"/>
  <c r="L297" i="2"/>
  <c r="L290" i="2"/>
  <c r="L289" i="2"/>
  <c r="L288" i="2"/>
  <c r="L287" i="2"/>
  <c r="L284" i="2"/>
  <c r="L283" i="2"/>
  <c r="L282" i="2"/>
  <c r="L281" i="2"/>
  <c r="L280" i="2"/>
  <c r="L279" i="2"/>
  <c r="L272" i="2"/>
  <c r="L271" i="2"/>
  <c r="L270" i="2"/>
  <c r="L269" i="2"/>
  <c r="L266" i="2"/>
  <c r="L265" i="2"/>
  <c r="L264" i="2"/>
  <c r="L257" i="2"/>
  <c r="L256" i="2"/>
  <c r="L255" i="2"/>
  <c r="L254" i="2"/>
  <c r="L250" i="2"/>
  <c r="L251" i="2"/>
  <c r="L249" i="2"/>
  <c r="L242" i="2"/>
  <c r="L241" i="2"/>
  <c r="L240" i="2"/>
  <c r="L239" i="2"/>
  <c r="L235" i="2"/>
  <c r="L221" i="2"/>
  <c r="O221" i="2" s="1"/>
  <c r="L211" i="2"/>
  <c r="L210" i="2"/>
  <c r="L209" i="2"/>
  <c r="L208" i="2"/>
  <c r="L205" i="2"/>
  <c r="L196" i="2"/>
  <c r="L195" i="2"/>
  <c r="L194" i="2"/>
  <c r="L193" i="2"/>
  <c r="L190" i="2"/>
  <c r="L123" i="2"/>
  <c r="L122" i="2"/>
  <c r="L121" i="2"/>
  <c r="L120" i="2"/>
  <c r="L117" i="2"/>
  <c r="L115" i="2"/>
  <c r="L103" i="2"/>
  <c r="L101" i="2"/>
  <c r="L93" i="2"/>
  <c r="L92" i="2"/>
  <c r="L91" i="2"/>
  <c r="L90" i="2"/>
  <c r="L87" i="2"/>
  <c r="L86" i="2"/>
  <c r="L80" i="2"/>
  <c r="L79" i="2"/>
  <c r="L78" i="2"/>
  <c r="L77" i="2"/>
  <c r="L74" i="2"/>
  <c r="L72" i="2"/>
  <c r="L64" i="2"/>
  <c r="L63" i="2"/>
  <c r="L54" i="2"/>
  <c r="L53" i="2"/>
  <c r="L45" i="2"/>
  <c r="L44" i="2"/>
  <c r="L33" i="2"/>
  <c r="L32" i="2"/>
  <c r="L25" i="2"/>
  <c r="L24" i="2"/>
  <c r="L18" i="2"/>
  <c r="L17" i="2"/>
  <c r="L16" i="2"/>
  <c r="L15" i="2"/>
  <c r="L11" i="2"/>
  <c r="L10" i="2"/>
  <c r="L50" i="2"/>
  <c r="L605" i="2"/>
  <c r="L604" i="2"/>
  <c r="L603" i="2"/>
  <c r="L602" i="2"/>
  <c r="L599" i="2"/>
  <c r="L598" i="2"/>
  <c r="L597" i="2"/>
  <c r="N107" i="6"/>
  <c r="L227" i="2"/>
  <c r="O227" i="2" s="1"/>
  <c r="L226" i="2"/>
  <c r="O226" i="2" s="1"/>
  <c r="L225" i="2"/>
  <c r="O225" i="2" s="1"/>
  <c r="L224" i="2"/>
  <c r="O224" i="2" s="1"/>
  <c r="L349" i="2"/>
  <c r="L529" i="2"/>
  <c r="L528" i="2"/>
  <c r="L527" i="2"/>
  <c r="L361" i="2"/>
  <c r="L360" i="2"/>
  <c r="L335" i="2"/>
  <c r="H29" i="8"/>
  <c r="F870" i="15" s="1"/>
  <c r="H22" i="8"/>
  <c r="H20" i="8"/>
  <c r="F251" i="15" s="1"/>
  <c r="L336" i="2"/>
  <c r="H59" i="8"/>
  <c r="H58" i="8"/>
  <c r="G633" i="15" s="1"/>
  <c r="G634" i="15" s="1"/>
  <c r="H57" i="8"/>
  <c r="H56" i="8"/>
  <c r="H55" i="8"/>
  <c r="H54" i="8"/>
  <c r="H53" i="8"/>
  <c r="L236" i="2"/>
  <c r="H27" i="8"/>
  <c r="H26" i="8"/>
  <c r="R29" i="8"/>
  <c r="R22" i="8"/>
  <c r="R20" i="8"/>
  <c r="R51" i="8"/>
  <c r="G675" i="15" l="1"/>
  <c r="G870" i="15"/>
  <c r="G873" i="15" s="1"/>
  <c r="F890" i="15"/>
  <c r="G214" i="15"/>
  <c r="F233" i="15"/>
  <c r="G233" i="15" s="1"/>
  <c r="G41" i="15"/>
  <c r="G42" i="15" s="1"/>
  <c r="L17" i="6" s="1"/>
  <c r="F176" i="15"/>
  <c r="F142" i="15"/>
  <c r="G142" i="15" s="1"/>
  <c r="G144" i="15" s="1"/>
  <c r="G272" i="15"/>
  <c r="F292" i="15"/>
  <c r="G292" i="15" s="1"/>
  <c r="F173" i="15"/>
  <c r="F139" i="15"/>
  <c r="G139" i="15" s="1"/>
  <c r="F170" i="15"/>
  <c r="F188" i="15" s="1"/>
  <c r="F206" i="15" s="1"/>
  <c r="F225" i="15" s="1"/>
  <c r="G225" i="15" s="1"/>
  <c r="F136" i="15"/>
  <c r="G136" i="15" s="1"/>
  <c r="F138" i="15"/>
  <c r="G138" i="15" s="1"/>
  <c r="F172" i="15"/>
  <c r="F190" i="15" s="1"/>
  <c r="F171" i="15"/>
  <c r="F189" i="15" s="1"/>
  <c r="F207" i="15" s="1"/>
  <c r="F226" i="15" s="1"/>
  <c r="G226" i="15" s="1"/>
  <c r="F137" i="15"/>
  <c r="G137" i="15" s="1"/>
  <c r="F250" i="15"/>
  <c r="F692" i="15"/>
  <c r="G692" i="15" s="1"/>
  <c r="G694" i="15" s="1"/>
  <c r="L220" i="2"/>
  <c r="O220" i="2" s="1"/>
  <c r="F252" i="15"/>
  <c r="G196" i="15"/>
  <c r="L219" i="2"/>
  <c r="O219" i="2" s="1"/>
  <c r="L348" i="2"/>
  <c r="F159" i="15"/>
  <c r="G159" i="15" s="1"/>
  <c r="G161" i="15" s="1"/>
  <c r="F107" i="15"/>
  <c r="G107" i="15" s="1"/>
  <c r="G109" i="15" s="1"/>
  <c r="G253" i="15"/>
  <c r="G347" i="15"/>
  <c r="G331" i="15"/>
  <c r="G346" i="15"/>
  <c r="G348" i="15"/>
  <c r="G349" i="15"/>
  <c r="G121" i="15"/>
  <c r="G118" i="15"/>
  <c r="G119" i="15"/>
  <c r="G120" i="15"/>
  <c r="G72" i="15"/>
  <c r="G74" i="15" s="1"/>
  <c r="F86" i="15"/>
  <c r="G87" i="15"/>
  <c r="L73" i="2"/>
  <c r="L116" i="2"/>
  <c r="L187" i="2"/>
  <c r="L189" i="2"/>
  <c r="L202" i="2"/>
  <c r="L204" i="2"/>
  <c r="L218" i="2"/>
  <c r="O218" i="2" s="1"/>
  <c r="L102" i="2"/>
  <c r="L188" i="2"/>
  <c r="L203" i="2"/>
  <c r="O228" i="2"/>
  <c r="Q41" i="8"/>
  <c r="P22" i="8"/>
  <c r="Q22" i="8" s="1"/>
  <c r="N22" i="8"/>
  <c r="O22" i="8" s="1"/>
  <c r="M22" i="8"/>
  <c r="Q35" i="8"/>
  <c r="O103" i="8"/>
  <c r="O101" i="8"/>
  <c r="O100" i="8"/>
  <c r="O99" i="8"/>
  <c r="O98" i="8"/>
  <c r="O97" i="8"/>
  <c r="O96" i="8"/>
  <c r="O95" i="8"/>
  <c r="O94" i="8"/>
  <c r="O92" i="8"/>
  <c r="O91" i="8"/>
  <c r="O90" i="8"/>
  <c r="O89" i="8"/>
  <c r="O88" i="8"/>
  <c r="O87" i="8"/>
  <c r="O86" i="8"/>
  <c r="O85" i="8"/>
  <c r="O84" i="8"/>
  <c r="O83" i="8"/>
  <c r="O82" i="8"/>
  <c r="O80" i="8"/>
  <c r="O79" i="8"/>
  <c r="O78" i="8"/>
  <c r="O77" i="8"/>
  <c r="O71" i="8"/>
  <c r="O70" i="8"/>
  <c r="O63" i="8"/>
  <c r="O61" i="8"/>
  <c r="O60" i="8"/>
  <c r="O59" i="8"/>
  <c r="O58" i="8"/>
  <c r="O57" i="8"/>
  <c r="O56" i="8"/>
  <c r="O55" i="8"/>
  <c r="O54" i="8"/>
  <c r="O53" i="8"/>
  <c r="O51" i="8"/>
  <c r="O50" i="8"/>
  <c r="O49" i="8"/>
  <c r="O48" i="8"/>
  <c r="O46" i="8"/>
  <c r="O40" i="8"/>
  <c r="O38" i="8"/>
  <c r="O37" i="8"/>
  <c r="O35" i="8"/>
  <c r="O34" i="8"/>
  <c r="O33" i="8"/>
  <c r="O31" i="8"/>
  <c r="O30" i="8"/>
  <c r="O28" i="8"/>
  <c r="O27" i="8"/>
  <c r="O26" i="8"/>
  <c r="O25" i="8"/>
  <c r="O24" i="8"/>
  <c r="O23" i="8"/>
  <c r="O21" i="8"/>
  <c r="O19" i="8"/>
  <c r="O18" i="8"/>
  <c r="O17" i="8"/>
  <c r="O12" i="8"/>
  <c r="O11" i="8"/>
  <c r="O10" i="8"/>
  <c r="O9" i="8"/>
  <c r="Q103" i="8"/>
  <c r="Q101" i="8"/>
  <c r="Q100" i="8"/>
  <c r="Q99" i="8"/>
  <c r="H98" i="8" s="1"/>
  <c r="Q98" i="8"/>
  <c r="Q97" i="8"/>
  <c r="Q96" i="8"/>
  <c r="Q95" i="8"/>
  <c r="Q94" i="8"/>
  <c r="Q92" i="8"/>
  <c r="Q91" i="8"/>
  <c r="Q90" i="8"/>
  <c r="Q89" i="8"/>
  <c r="Q88" i="8"/>
  <c r="Q87" i="8"/>
  <c r="Q86" i="8"/>
  <c r="G580" i="15"/>
  <c r="G582" i="15" s="1"/>
  <c r="G583" i="15" s="1"/>
  <c r="G584" i="15" s="1"/>
  <c r="G585" i="15" s="1"/>
  <c r="L90" i="6" s="1"/>
  <c r="N90" i="6" s="1"/>
  <c r="G382" i="15"/>
  <c r="G386" i="15" s="1"/>
  <c r="Q84" i="8"/>
  <c r="Q83" i="8"/>
  <c r="Q82" i="8"/>
  <c r="Q80" i="8"/>
  <c r="Q79" i="8"/>
  <c r="Q78" i="8"/>
  <c r="Q77" i="8"/>
  <c r="Q71" i="8"/>
  <c r="Q70" i="8"/>
  <c r="Q63" i="8"/>
  <c r="Q61" i="8"/>
  <c r="Q60" i="8"/>
  <c r="Q59" i="8"/>
  <c r="Q58" i="8"/>
  <c r="Q57" i="8"/>
  <c r="Q56" i="8"/>
  <c r="Q55" i="8"/>
  <c r="Q54" i="8"/>
  <c r="Q53" i="8"/>
  <c r="Q52" i="8"/>
  <c r="Q49" i="8"/>
  <c r="Q48" i="8"/>
  <c r="Q46" i="8"/>
  <c r="Q44" i="8"/>
  <c r="Q43" i="8"/>
  <c r="Q42" i="8"/>
  <c r="Q38" i="8"/>
  <c r="Q37" i="8"/>
  <c r="Q34" i="8"/>
  <c r="Q33" i="8"/>
  <c r="Q31" i="8"/>
  <c r="Q28" i="8"/>
  <c r="Q27" i="8"/>
  <c r="Q26" i="8"/>
  <c r="Q25" i="8"/>
  <c r="Q24" i="8"/>
  <c r="Q23" i="8"/>
  <c r="Q21" i="8"/>
  <c r="Q19" i="8"/>
  <c r="Q18" i="8"/>
  <c r="Q17" i="8"/>
  <c r="Q12" i="8"/>
  <c r="Q10" i="8"/>
  <c r="Q11" i="8"/>
  <c r="Q9" i="8"/>
  <c r="P50" i="8"/>
  <c r="Q50" i="8" s="1"/>
  <c r="P51" i="8"/>
  <c r="Q51" i="8" s="1"/>
  <c r="G890" i="15" l="1"/>
  <c r="G893" i="15" s="1"/>
  <c r="F912" i="15"/>
  <c r="G912" i="15" s="1"/>
  <c r="G915" i="15" s="1"/>
  <c r="G171" i="15"/>
  <c r="G170" i="15"/>
  <c r="G172" i="15"/>
  <c r="G140" i="15"/>
  <c r="G147" i="15" s="1"/>
  <c r="G148" i="15" s="1"/>
  <c r="G149" i="15" s="1"/>
  <c r="L67" i="6" s="1"/>
  <c r="N67" i="6" s="1"/>
  <c r="F271" i="15"/>
  <c r="G252" i="15"/>
  <c r="G206" i="15"/>
  <c r="F208" i="15"/>
  <c r="F195" i="15"/>
  <c r="F213" i="15" s="1"/>
  <c r="G176" i="15"/>
  <c r="G178" i="15" s="1"/>
  <c r="G350" i="15"/>
  <c r="G190" i="15"/>
  <c r="G188" i="15"/>
  <c r="G122" i="15"/>
  <c r="G129" i="15" s="1"/>
  <c r="G130" i="15" s="1"/>
  <c r="G131" i="15" s="1"/>
  <c r="G173" i="15"/>
  <c r="F191" i="15"/>
  <c r="G189" i="15"/>
  <c r="G80" i="15"/>
  <c r="G81" i="15" s="1"/>
  <c r="G82" i="15" s="1"/>
  <c r="L24" i="6" s="1"/>
  <c r="N24" i="6" s="1"/>
  <c r="G104" i="15"/>
  <c r="G112" i="15" s="1"/>
  <c r="G113" i="15" s="1"/>
  <c r="G114" i="15" s="1"/>
  <c r="L27" i="6" s="1"/>
  <c r="N27" i="6" s="1"/>
  <c r="N28" i="6" s="1"/>
  <c r="I12" i="21" s="1"/>
  <c r="G86" i="15"/>
  <c r="G88" i="15" s="1"/>
  <c r="G94" i="15" s="1"/>
  <c r="O222" i="2"/>
  <c r="O229" i="2" s="1"/>
  <c r="P29" i="8"/>
  <c r="Q29" i="8" s="1"/>
  <c r="P30" i="8"/>
  <c r="Q30" i="8" s="1"/>
  <c r="G213" i="15" l="1"/>
  <c r="G215" i="15" s="1"/>
  <c r="F232" i="15"/>
  <c r="G232" i="15" s="1"/>
  <c r="G234" i="15" s="1"/>
  <c r="G208" i="15"/>
  <c r="F227" i="15"/>
  <c r="G227" i="15" s="1"/>
  <c r="G271" i="15"/>
  <c r="G291" i="15"/>
  <c r="G174" i="15"/>
  <c r="G181" i="15" s="1"/>
  <c r="G182" i="15" s="1"/>
  <c r="G183" i="15" s="1"/>
  <c r="G207" i="15"/>
  <c r="F209" i="15"/>
  <c r="F270" i="15"/>
  <c r="G251" i="15"/>
  <c r="G195" i="15"/>
  <c r="G197" i="15" s="1"/>
  <c r="F245" i="15"/>
  <c r="F244" i="15"/>
  <c r="F246" i="15"/>
  <c r="G191" i="15"/>
  <c r="G192" i="15" s="1"/>
  <c r="G95" i="15"/>
  <c r="G96" i="15" s="1"/>
  <c r="L121" i="6" s="1"/>
  <c r="N121" i="6" s="1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6" i="8"/>
  <c r="Q167" i="8"/>
  <c r="Q168" i="8"/>
  <c r="Q169" i="8"/>
  <c r="N41" i="8"/>
  <c r="O41" i="8" s="1"/>
  <c r="N42" i="8"/>
  <c r="O42" i="8" s="1"/>
  <c r="N43" i="8"/>
  <c r="O43" i="8" s="1"/>
  <c r="N44" i="8"/>
  <c r="O44" i="8" s="1"/>
  <c r="G209" i="15" l="1"/>
  <c r="G210" i="15" s="1"/>
  <c r="G218" i="15" s="1"/>
  <c r="G219" i="15" s="1"/>
  <c r="G220" i="15" s="1"/>
  <c r="L64" i="6" s="1"/>
  <c r="F228" i="15"/>
  <c r="G228" i="15" s="1"/>
  <c r="G229" i="15" s="1"/>
  <c r="G237" i="15" s="1"/>
  <c r="G200" i="15"/>
  <c r="G201" i="15" s="1"/>
  <c r="G202" i="15" s="1"/>
  <c r="G270" i="15"/>
  <c r="G290" i="15"/>
  <c r="F247" i="15"/>
  <c r="G246" i="15"/>
  <c r="F265" i="15"/>
  <c r="F263" i="15"/>
  <c r="G244" i="15"/>
  <c r="F264" i="15"/>
  <c r="G245" i="15"/>
  <c r="P20" i="8"/>
  <c r="Q20" i="8" s="1"/>
  <c r="G238" i="15" l="1"/>
  <c r="G239" i="15" s="1"/>
  <c r="L66" i="6" s="1"/>
  <c r="N66" i="6" s="1"/>
  <c r="F304" i="15"/>
  <c r="F322" i="15" s="1"/>
  <c r="F341" i="15" s="1"/>
  <c r="F284" i="15"/>
  <c r="G284" i="15" s="1"/>
  <c r="F305" i="15"/>
  <c r="G305" i="15" s="1"/>
  <c r="F285" i="15"/>
  <c r="G285" i="15" s="1"/>
  <c r="F303" i="15"/>
  <c r="G303" i="15" s="1"/>
  <c r="F283" i="15"/>
  <c r="G283" i="15" s="1"/>
  <c r="L65" i="6"/>
  <c r="G250" i="15"/>
  <c r="G254" i="15" s="1"/>
  <c r="F269" i="15"/>
  <c r="G265" i="15"/>
  <c r="F266" i="15"/>
  <c r="G247" i="15"/>
  <c r="G248" i="15" s="1"/>
  <c r="G264" i="15"/>
  <c r="G263" i="15"/>
  <c r="N52" i="8"/>
  <c r="O52" i="8" s="1"/>
  <c r="N29" i="8"/>
  <c r="O29" i="8" s="1"/>
  <c r="N20" i="8"/>
  <c r="O20" i="8" s="1"/>
  <c r="F323" i="15" l="1"/>
  <c r="F342" i="15" s="1"/>
  <c r="F361" i="15" s="1"/>
  <c r="G304" i="15"/>
  <c r="F321" i="15"/>
  <c r="F340" i="15" s="1"/>
  <c r="F359" i="15" s="1"/>
  <c r="F377" i="15"/>
  <c r="G377" i="15" s="1"/>
  <c r="F360" i="15"/>
  <c r="F306" i="15"/>
  <c r="F324" i="15" s="1"/>
  <c r="F343" i="15" s="1"/>
  <c r="F286" i="15"/>
  <c r="G286" i="15" s="1"/>
  <c r="G287" i="15" s="1"/>
  <c r="G269" i="15"/>
  <c r="G273" i="15" s="1"/>
  <c r="F289" i="15"/>
  <c r="G289" i="15" s="1"/>
  <c r="G293" i="15" s="1"/>
  <c r="F525" i="15"/>
  <c r="G543" i="15" s="1"/>
  <c r="G257" i="15"/>
  <c r="G258" i="15" s="1"/>
  <c r="G259" i="15" s="1"/>
  <c r="G322" i="15"/>
  <c r="G266" i="15"/>
  <c r="G267" i="15" s="1"/>
  <c r="F38" i="12"/>
  <c r="E38" i="12"/>
  <c r="D38" i="12"/>
  <c r="M50" i="8"/>
  <c r="L352" i="2"/>
  <c r="O352" i="2" s="1"/>
  <c r="O349" i="2"/>
  <c r="O348" i="2"/>
  <c r="D55" i="12"/>
  <c r="F54" i="12"/>
  <c r="E54" i="12"/>
  <c r="D54" i="12"/>
  <c r="L79" i="6"/>
  <c r="N79" i="6" s="1"/>
  <c r="M52" i="8"/>
  <c r="L53" i="6" l="1"/>
  <c r="L57" i="6"/>
  <c r="G323" i="15"/>
  <c r="F378" i="15"/>
  <c r="G378" i="15" s="1"/>
  <c r="G321" i="15"/>
  <c r="F526" i="15"/>
  <c r="G544" i="15" s="1"/>
  <c r="F524" i="15"/>
  <c r="G559" i="15" s="1"/>
  <c r="G560" i="15" s="1"/>
  <c r="G566" i="15" s="1"/>
  <c r="G567" i="15" s="1"/>
  <c r="G568" i="15" s="1"/>
  <c r="L89" i="6" s="1"/>
  <c r="F376" i="15"/>
  <c r="G376" i="15" s="1"/>
  <c r="F379" i="15"/>
  <c r="G379" i="15" s="1"/>
  <c r="F362" i="15"/>
  <c r="G306" i="15"/>
  <c r="G307" i="15" s="1"/>
  <c r="G314" i="15" s="1"/>
  <c r="G315" i="15" s="1"/>
  <c r="G276" i="15"/>
  <c r="G296" i="15"/>
  <c r="G297" i="15" s="1"/>
  <c r="G298" i="15" s="1"/>
  <c r="G542" i="15"/>
  <c r="L33" i="6"/>
  <c r="L41" i="6"/>
  <c r="N41" i="6" s="1"/>
  <c r="L49" i="6"/>
  <c r="L37" i="6"/>
  <c r="L45" i="6"/>
  <c r="N45" i="6" s="1"/>
  <c r="G359" i="15"/>
  <c r="F396" i="15"/>
  <c r="G361" i="15"/>
  <c r="F398" i="15"/>
  <c r="G360" i="15"/>
  <c r="F397" i="15"/>
  <c r="F527" i="15"/>
  <c r="G545" i="15" s="1"/>
  <c r="G324" i="15"/>
  <c r="O350" i="2"/>
  <c r="O528" i="2"/>
  <c r="F53" i="12"/>
  <c r="E53" i="12"/>
  <c r="D53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N57" i="6" l="1"/>
  <c r="L61" i="6"/>
  <c r="N61" i="6" s="1"/>
  <c r="N37" i="6"/>
  <c r="L118" i="6"/>
  <c r="N118" i="6" s="1"/>
  <c r="G325" i="15"/>
  <c r="G334" i="15" s="1"/>
  <c r="G335" i="15" s="1"/>
  <c r="G336" i="15" s="1"/>
  <c r="G277" i="15"/>
  <c r="G316" i="15"/>
  <c r="G317" i="15" s="1"/>
  <c r="L36" i="6" s="1"/>
  <c r="G380" i="15"/>
  <c r="G389" i="15" s="1"/>
  <c r="G546" i="15"/>
  <c r="G550" i="15" s="1"/>
  <c r="G551" i="15" s="1"/>
  <c r="G552" i="15" s="1"/>
  <c r="L87" i="6" s="1"/>
  <c r="G397" i="15"/>
  <c r="F414" i="15"/>
  <c r="G396" i="15"/>
  <c r="F413" i="15"/>
  <c r="G398" i="15"/>
  <c r="F415" i="15"/>
  <c r="F434" i="15" s="1"/>
  <c r="G362" i="15"/>
  <c r="G363" i="15" s="1"/>
  <c r="G369" i="15" s="1"/>
  <c r="G370" i="15" s="1"/>
  <c r="G371" i="15" s="1"/>
  <c r="F399" i="15"/>
  <c r="G340" i="15"/>
  <c r="G341" i="15"/>
  <c r="G342" i="15"/>
  <c r="F28" i="12"/>
  <c r="E28" i="12"/>
  <c r="D28" i="12"/>
  <c r="N36" i="6" l="1"/>
  <c r="L117" i="6"/>
  <c r="N117" i="6" s="1"/>
  <c r="G434" i="15"/>
  <c r="F453" i="15"/>
  <c r="G413" i="15"/>
  <c r="F432" i="15"/>
  <c r="F451" i="15" s="1"/>
  <c r="F469" i="15" s="1"/>
  <c r="G414" i="15"/>
  <c r="F433" i="15"/>
  <c r="F452" i="15" s="1"/>
  <c r="F470" i="15" s="1"/>
  <c r="G415" i="15"/>
  <c r="G432" i="15"/>
  <c r="G278" i="15"/>
  <c r="L32" i="6"/>
  <c r="G390" i="15"/>
  <c r="G391" i="15" s="1"/>
  <c r="L72" i="6" s="1"/>
  <c r="N72" i="6" s="1"/>
  <c r="L31" i="6"/>
  <c r="N31" i="6" s="1"/>
  <c r="L35" i="6"/>
  <c r="L47" i="6"/>
  <c r="G399" i="15"/>
  <c r="G400" i="15" s="1"/>
  <c r="G407" i="15" s="1"/>
  <c r="G408" i="15" s="1"/>
  <c r="G409" i="15" s="1"/>
  <c r="L74" i="6" s="1"/>
  <c r="L76" i="6" s="1"/>
  <c r="N76" i="6" s="1"/>
  <c r="F416" i="15"/>
  <c r="F435" i="15" s="1"/>
  <c r="F155" i="15"/>
  <c r="G526" i="15"/>
  <c r="F154" i="15"/>
  <c r="G525" i="15"/>
  <c r="F153" i="15"/>
  <c r="G524" i="15"/>
  <c r="G343" i="15"/>
  <c r="G344" i="15" s="1"/>
  <c r="G353" i="15" s="1"/>
  <c r="G354" i="15" s="1"/>
  <c r="G355" i="15" s="1"/>
  <c r="L55" i="6" s="1"/>
  <c r="F52" i="12"/>
  <c r="E52" i="12"/>
  <c r="D52" i="12"/>
  <c r="F51" i="12"/>
  <c r="E51" i="12"/>
  <c r="D51" i="12"/>
  <c r="N55" i="6" l="1"/>
  <c r="L59" i="6"/>
  <c r="N59" i="6" s="1"/>
  <c r="N35" i="6"/>
  <c r="L116" i="6"/>
  <c r="N116" i="6" s="1"/>
  <c r="G469" i="15"/>
  <c r="F487" i="15"/>
  <c r="F505" i="15" s="1"/>
  <c r="G505" i="15" s="1"/>
  <c r="G470" i="15"/>
  <c r="F488" i="15"/>
  <c r="F506" i="15" s="1"/>
  <c r="G453" i="15"/>
  <c r="F471" i="15"/>
  <c r="F489" i="15" s="1"/>
  <c r="F507" i="15" s="1"/>
  <c r="G451" i="15"/>
  <c r="G452" i="15"/>
  <c r="G435" i="15"/>
  <c r="F454" i="15"/>
  <c r="G416" i="15"/>
  <c r="G417" i="15" s="1"/>
  <c r="G425" i="15" s="1"/>
  <c r="G426" i="15" s="1"/>
  <c r="G427" i="15" s="1"/>
  <c r="L73" i="6" s="1"/>
  <c r="L75" i="6" s="1"/>
  <c r="G433" i="15"/>
  <c r="L123" i="6"/>
  <c r="N123" i="6" s="1"/>
  <c r="L122" i="6"/>
  <c r="N122" i="6" s="1"/>
  <c r="L52" i="6"/>
  <c r="L56" i="6"/>
  <c r="L51" i="6"/>
  <c r="L39" i="6"/>
  <c r="N39" i="6" s="1"/>
  <c r="L43" i="6"/>
  <c r="N43" i="6" s="1"/>
  <c r="F156" i="15"/>
  <c r="G527" i="15"/>
  <c r="G528" i="15" s="1"/>
  <c r="F590" i="15"/>
  <c r="F608" i="15" s="1"/>
  <c r="G153" i="15"/>
  <c r="F591" i="15"/>
  <c r="F609" i="15" s="1"/>
  <c r="F645" i="15" s="1"/>
  <c r="G154" i="15"/>
  <c r="F592" i="15"/>
  <c r="F610" i="15" s="1"/>
  <c r="F646" i="15" s="1"/>
  <c r="G155" i="15"/>
  <c r="N56" i="6" l="1"/>
  <c r="L60" i="6"/>
  <c r="N60" i="6" s="1"/>
  <c r="F686" i="15"/>
  <c r="F777" i="15" s="1"/>
  <c r="G777" i="15" s="1"/>
  <c r="F664" i="15"/>
  <c r="G664" i="15" s="1"/>
  <c r="F687" i="15"/>
  <c r="F778" i="15" s="1"/>
  <c r="G778" i="15" s="1"/>
  <c r="F665" i="15"/>
  <c r="G665" i="15" s="1"/>
  <c r="G471" i="15"/>
  <c r="G489" i="15"/>
  <c r="G487" i="15"/>
  <c r="G506" i="15"/>
  <c r="G488" i="15"/>
  <c r="G507" i="15"/>
  <c r="G454" i="15"/>
  <c r="G455" i="15" s="1"/>
  <c r="G462" i="15" s="1"/>
  <c r="G463" i="15" s="1"/>
  <c r="G464" i="15" s="1"/>
  <c r="L78" i="6" s="1"/>
  <c r="N78" i="6" s="1"/>
  <c r="F472" i="15"/>
  <c r="N73" i="6"/>
  <c r="G436" i="15"/>
  <c r="G444" i="15" s="1"/>
  <c r="G445" i="15" s="1"/>
  <c r="G446" i="15" s="1"/>
  <c r="L81" i="6" s="1"/>
  <c r="N81" i="6" s="1"/>
  <c r="N75" i="6"/>
  <c r="L80" i="6"/>
  <c r="N80" i="6" s="1"/>
  <c r="F846" i="15"/>
  <c r="G846" i="15" s="1"/>
  <c r="G707" i="15"/>
  <c r="G706" i="15"/>
  <c r="F629" i="15"/>
  <c r="F644" i="15"/>
  <c r="G535" i="15"/>
  <c r="G536" i="15" s="1"/>
  <c r="G537" i="15" s="1"/>
  <c r="F949" i="15" s="1"/>
  <c r="G949" i="15" s="1"/>
  <c r="G592" i="15"/>
  <c r="G591" i="15"/>
  <c r="G590" i="15"/>
  <c r="F593" i="15"/>
  <c r="F611" i="15" s="1"/>
  <c r="G156" i="15"/>
  <c r="G157" i="15" s="1"/>
  <c r="G164" i="15" s="1"/>
  <c r="G165" i="15" s="1"/>
  <c r="G166" i="15" s="1"/>
  <c r="L68" i="6" s="1"/>
  <c r="F58" i="12"/>
  <c r="E58" i="12"/>
  <c r="D58" i="12"/>
  <c r="F47" i="12"/>
  <c r="E47" i="12"/>
  <c r="D47" i="12"/>
  <c r="F796" i="15" l="1"/>
  <c r="G796" i="15" s="1"/>
  <c r="F830" i="15"/>
  <c r="G830" i="15" s="1"/>
  <c r="F743" i="15"/>
  <c r="G743" i="15" s="1"/>
  <c r="F813" i="15"/>
  <c r="G813" i="15" s="1"/>
  <c r="G686" i="15"/>
  <c r="F760" i="15"/>
  <c r="G760" i="15" s="1"/>
  <c r="F864" i="15"/>
  <c r="G864" i="15" s="1"/>
  <c r="F797" i="15"/>
  <c r="G797" i="15" s="1"/>
  <c r="F831" i="15"/>
  <c r="G831" i="15" s="1"/>
  <c r="G687" i="15"/>
  <c r="F814" i="15"/>
  <c r="G814" i="15" s="1"/>
  <c r="F685" i="15"/>
  <c r="F776" i="15" s="1"/>
  <c r="G776" i="15" s="1"/>
  <c r="F663" i="15"/>
  <c r="G663" i="15" s="1"/>
  <c r="F744" i="15"/>
  <c r="G744" i="15" s="1"/>
  <c r="F865" i="15"/>
  <c r="G865" i="15" s="1"/>
  <c r="F761" i="15"/>
  <c r="G761" i="15" s="1"/>
  <c r="F847" i="15"/>
  <c r="G847" i="15" s="1"/>
  <c r="G472" i="15"/>
  <c r="G473" i="15" s="1"/>
  <c r="G480" i="15" s="1"/>
  <c r="G481" i="15" s="1"/>
  <c r="G482" i="15" s="1"/>
  <c r="L77" i="6" s="1"/>
  <c r="N77" i="6" s="1"/>
  <c r="F490" i="15"/>
  <c r="F884" i="15"/>
  <c r="F906" i="15" s="1"/>
  <c r="G705" i="15"/>
  <c r="G708" i="15" s="1"/>
  <c r="G717" i="15" s="1"/>
  <c r="G718" i="15" s="1"/>
  <c r="G719" i="15" s="1"/>
  <c r="L109" i="6" s="1"/>
  <c r="N109" i="6" s="1"/>
  <c r="F630" i="15"/>
  <c r="F647" i="15"/>
  <c r="G645" i="15"/>
  <c r="G593" i="15"/>
  <c r="G594" i="15" s="1"/>
  <c r="G601" i="15" s="1"/>
  <c r="F795" i="15" l="1"/>
  <c r="G795" i="15" s="1"/>
  <c r="F885" i="15"/>
  <c r="F930" i="15" s="1"/>
  <c r="G685" i="15"/>
  <c r="F742" i="15"/>
  <c r="G742" i="15" s="1"/>
  <c r="F829" i="15"/>
  <c r="G829" i="15" s="1"/>
  <c r="F759" i="15"/>
  <c r="G759" i="15" s="1"/>
  <c r="F863" i="15"/>
  <c r="F883" i="15" s="1"/>
  <c r="F905" i="15" s="1"/>
  <c r="G905" i="15" s="1"/>
  <c r="F812" i="15"/>
  <c r="G812" i="15" s="1"/>
  <c r="F845" i="15"/>
  <c r="G845" i="15" s="1"/>
  <c r="F688" i="15"/>
  <c r="F779" i="15" s="1"/>
  <c r="G779" i="15" s="1"/>
  <c r="G780" i="15" s="1"/>
  <c r="G788" i="15" s="1"/>
  <c r="G789" i="15" s="1"/>
  <c r="G790" i="15" s="1"/>
  <c r="L102" i="6" s="1"/>
  <c r="N102" i="6" s="1"/>
  <c r="F666" i="15"/>
  <c r="G666" i="15" s="1"/>
  <c r="F907" i="15"/>
  <c r="G907" i="15" s="1"/>
  <c r="G884" i="15"/>
  <c r="F929" i="15"/>
  <c r="F966" i="15" s="1"/>
  <c r="G885" i="15"/>
  <c r="G490" i="15"/>
  <c r="G491" i="15" s="1"/>
  <c r="G498" i="15" s="1"/>
  <c r="G499" i="15" s="1"/>
  <c r="G500" i="15" s="1"/>
  <c r="L82" i="6" s="1"/>
  <c r="N82" i="6" s="1"/>
  <c r="F508" i="15"/>
  <c r="G508" i="15" s="1"/>
  <c r="G509" i="15" s="1"/>
  <c r="G516" i="15" s="1"/>
  <c r="G517" i="15" s="1"/>
  <c r="G518" i="15" s="1"/>
  <c r="L83" i="6" s="1"/>
  <c r="N83" i="6" s="1"/>
  <c r="F866" i="15"/>
  <c r="F762" i="15"/>
  <c r="G762" i="15" s="1"/>
  <c r="G763" i="15" s="1"/>
  <c r="G769" i="15" s="1"/>
  <c r="G688" i="15"/>
  <c r="G646" i="15"/>
  <c r="G644" i="15"/>
  <c r="G608" i="15"/>
  <c r="G610" i="15"/>
  <c r="G609" i="15"/>
  <c r="G602" i="15"/>
  <c r="G603" i="15" s="1"/>
  <c r="F815" i="15" l="1"/>
  <c r="G815" i="15" s="1"/>
  <c r="F928" i="15"/>
  <c r="F965" i="15" s="1"/>
  <c r="G816" i="15"/>
  <c r="G823" i="15" s="1"/>
  <c r="G824" i="15" s="1"/>
  <c r="G825" i="15" s="1"/>
  <c r="L97" i="6" s="1"/>
  <c r="N97" i="6" s="1"/>
  <c r="G689" i="15"/>
  <c r="G697" i="15" s="1"/>
  <c r="G698" i="15" s="1"/>
  <c r="G699" i="15" s="1"/>
  <c r="L100" i="6" s="1"/>
  <c r="N100" i="6" s="1"/>
  <c r="G863" i="15"/>
  <c r="G883" i="15"/>
  <c r="F745" i="15"/>
  <c r="G745" i="15" s="1"/>
  <c r="G746" i="15" s="1"/>
  <c r="G752" i="15" s="1"/>
  <c r="G753" i="15" s="1"/>
  <c r="G754" i="15" s="1"/>
  <c r="L101" i="6" s="1"/>
  <c r="N101" i="6" s="1"/>
  <c r="F832" i="15"/>
  <c r="G832" i="15" s="1"/>
  <c r="G833" i="15" s="1"/>
  <c r="G839" i="15" s="1"/>
  <c r="G840" i="15" s="1"/>
  <c r="G841" i="15" s="1"/>
  <c r="L99" i="6" s="1"/>
  <c r="N99" i="6" s="1"/>
  <c r="F798" i="15"/>
  <c r="G798" i="15" s="1"/>
  <c r="G799" i="15" s="1"/>
  <c r="G806" i="15" s="1"/>
  <c r="G807" i="15" s="1"/>
  <c r="G808" i="15" s="1"/>
  <c r="L98" i="6" s="1"/>
  <c r="N98" i="6" s="1"/>
  <c r="F848" i="15"/>
  <c r="G848" i="15" s="1"/>
  <c r="G849" i="15" s="1"/>
  <c r="G856" i="15" s="1"/>
  <c r="G857" i="15" s="1"/>
  <c r="G858" i="15" s="1"/>
  <c r="L103" i="6" s="1"/>
  <c r="N103" i="6" s="1"/>
  <c r="G667" i="15"/>
  <c r="G678" i="15" s="1"/>
  <c r="G679" i="15" s="1"/>
  <c r="G680" i="15" s="1"/>
  <c r="L84" i="6" s="1"/>
  <c r="N84" i="6" s="1"/>
  <c r="G930" i="15"/>
  <c r="F967" i="15"/>
  <c r="G965" i="15"/>
  <c r="F986" i="15"/>
  <c r="G986" i="15" s="1"/>
  <c r="F987" i="15"/>
  <c r="G987" i="15" s="1"/>
  <c r="G966" i="15"/>
  <c r="G929" i="15"/>
  <c r="G866" i="15"/>
  <c r="G867" i="15" s="1"/>
  <c r="G876" i="15" s="1"/>
  <c r="G877" i="15" s="1"/>
  <c r="G878" i="15" s="1"/>
  <c r="L124" i="6" s="1"/>
  <c r="N124" i="6" s="1"/>
  <c r="F886" i="15"/>
  <c r="F908" i="15" s="1"/>
  <c r="G908" i="15" s="1"/>
  <c r="G770" i="15"/>
  <c r="G771" i="15" s="1"/>
  <c r="L568" i="2"/>
  <c r="O568" i="2" s="1"/>
  <c r="L569" i="2"/>
  <c r="O569" i="2" s="1"/>
  <c r="L570" i="2"/>
  <c r="O570" i="2" s="1"/>
  <c r="H104" i="8"/>
  <c r="L558" i="2" s="1"/>
  <c r="O558" i="2" s="1"/>
  <c r="O559" i="2" s="1"/>
  <c r="F62" i="12"/>
  <c r="E62" i="12"/>
  <c r="D62" i="12"/>
  <c r="F59" i="12"/>
  <c r="E59" i="12"/>
  <c r="D59" i="12"/>
  <c r="L625" i="2"/>
  <c r="O625" i="2" s="1"/>
  <c r="L637" i="2"/>
  <c r="O637" i="2" s="1"/>
  <c r="L449" i="2"/>
  <c r="O449" i="2" s="1"/>
  <c r="L463" i="2"/>
  <c r="O463" i="2" s="1"/>
  <c r="L462" i="2"/>
  <c r="O462" i="2" s="1"/>
  <c r="H16" i="8"/>
  <c r="L353" i="2"/>
  <c r="O353" i="2" s="1"/>
  <c r="L354" i="2"/>
  <c r="O354" i="2" s="1"/>
  <c r="L355" i="2"/>
  <c r="O355" i="2" s="1"/>
  <c r="L628" i="2"/>
  <c r="O628" i="2" s="1"/>
  <c r="M20" i="8"/>
  <c r="M29" i="8"/>
  <c r="M43" i="8"/>
  <c r="M44" i="8" s="1"/>
  <c r="M59" i="8"/>
  <c r="M78" i="8"/>
  <c r="M82" i="8"/>
  <c r="M137" i="8"/>
  <c r="M141" i="8"/>
  <c r="M162" i="8"/>
  <c r="M163" i="8"/>
  <c r="M164" i="8"/>
  <c r="N119" i="6" l="1"/>
  <c r="I17" i="21" s="1"/>
  <c r="F988" i="15"/>
  <c r="G988" i="15" s="1"/>
  <c r="G967" i="15"/>
  <c r="F931" i="15"/>
  <c r="G906" i="15"/>
  <c r="G909" i="15" s="1"/>
  <c r="G920" i="15" s="1"/>
  <c r="G886" i="15"/>
  <c r="G887" i="15" s="1"/>
  <c r="G898" i="15" s="1"/>
  <c r="G899" i="15" s="1"/>
  <c r="G900" i="15" s="1"/>
  <c r="L126" i="6" s="1"/>
  <c r="N126" i="6" s="1"/>
  <c r="G928" i="15"/>
  <c r="G629" i="15"/>
  <c r="G647" i="15"/>
  <c r="G648" i="15" s="1"/>
  <c r="G611" i="15"/>
  <c r="G612" i="15" s="1"/>
  <c r="O356" i="2"/>
  <c r="O357" i="2" s="1"/>
  <c r="L624" i="2"/>
  <c r="O624" i="2" s="1"/>
  <c r="O626" i="2" s="1"/>
  <c r="L640" i="2"/>
  <c r="O640" i="2" s="1"/>
  <c r="L534" i="2"/>
  <c r="O534" i="2" s="1"/>
  <c r="L548" i="2"/>
  <c r="O548" i="2" s="1"/>
  <c r="L505" i="2"/>
  <c r="O505" i="2" s="1"/>
  <c r="L518" i="2"/>
  <c r="O518" i="2" s="1"/>
  <c r="L492" i="2"/>
  <c r="O492" i="2" s="1"/>
  <c r="L453" i="2"/>
  <c r="O453" i="2" s="1"/>
  <c r="L561" i="2"/>
  <c r="O561" i="2" s="1"/>
  <c r="L573" i="2"/>
  <c r="O573" i="2" s="1"/>
  <c r="L466" i="2"/>
  <c r="O466" i="2" s="1"/>
  <c r="L643" i="2"/>
  <c r="O643" i="2" s="1"/>
  <c r="L537" i="2"/>
  <c r="O537" i="2" s="1"/>
  <c r="L551" i="2"/>
  <c r="O551" i="2" s="1"/>
  <c r="L550" i="2"/>
  <c r="O550" i="2" s="1"/>
  <c r="L536" i="2"/>
  <c r="O536" i="2" s="1"/>
  <c r="L545" i="2"/>
  <c r="O545" i="2" s="1"/>
  <c r="O529" i="2"/>
  <c r="L629" i="2"/>
  <c r="O629" i="2" s="1"/>
  <c r="L549" i="2"/>
  <c r="O549" i="2" s="1"/>
  <c r="L535" i="2"/>
  <c r="O535" i="2" s="1"/>
  <c r="L544" i="2"/>
  <c r="O544" i="2" s="1"/>
  <c r="O527" i="2"/>
  <c r="L495" i="2"/>
  <c r="O495" i="2" s="1"/>
  <c r="L521" i="2"/>
  <c r="O521" i="2" s="1"/>
  <c r="L508" i="2"/>
  <c r="O508" i="2" s="1"/>
  <c r="L562" i="2"/>
  <c r="O562" i="2" s="1"/>
  <c r="L576" i="2"/>
  <c r="O576" i="2" s="1"/>
  <c r="L469" i="2"/>
  <c r="O469" i="2" s="1"/>
  <c r="L456" i="2"/>
  <c r="O456" i="2" s="1"/>
  <c r="L494" i="2"/>
  <c r="O494" i="2" s="1"/>
  <c r="L507" i="2"/>
  <c r="O507" i="2" s="1"/>
  <c r="L520" i="2"/>
  <c r="O520" i="2" s="1"/>
  <c r="L575" i="2"/>
  <c r="O575" i="2" s="1"/>
  <c r="L455" i="2"/>
  <c r="O455" i="2" s="1"/>
  <c r="L468" i="2"/>
  <c r="O468" i="2" s="1"/>
  <c r="L630" i="2"/>
  <c r="O630" i="2" s="1"/>
  <c r="L506" i="2"/>
  <c r="O506" i="2" s="1"/>
  <c r="L519" i="2"/>
  <c r="O519" i="2" s="1"/>
  <c r="L493" i="2"/>
  <c r="O493" i="2" s="1"/>
  <c r="L574" i="2"/>
  <c r="O574" i="2" s="1"/>
  <c r="L467" i="2"/>
  <c r="O467" i="2" s="1"/>
  <c r="L454" i="2"/>
  <c r="O454" i="2" s="1"/>
  <c r="L642" i="2"/>
  <c r="O642" i="2" s="1"/>
  <c r="L641" i="2"/>
  <c r="O641" i="2" s="1"/>
  <c r="L631" i="2"/>
  <c r="O631" i="2" s="1"/>
  <c r="L487" i="2"/>
  <c r="O487" i="2" s="1"/>
  <c r="L501" i="2"/>
  <c r="O501" i="2" s="1"/>
  <c r="L514" i="2"/>
  <c r="O514" i="2" s="1"/>
  <c r="L502" i="2"/>
  <c r="O502" i="2" s="1"/>
  <c r="L489" i="2"/>
  <c r="O489" i="2" s="1"/>
  <c r="L515" i="2"/>
  <c r="O515" i="2" s="1"/>
  <c r="L488" i="2"/>
  <c r="O488" i="2" s="1"/>
  <c r="L450" i="2"/>
  <c r="O450" i="2" s="1"/>
  <c r="O451" i="2" s="1"/>
  <c r="O571" i="2"/>
  <c r="O464" i="2"/>
  <c r="O638" i="2"/>
  <c r="M618" i="2"/>
  <c r="M617" i="2"/>
  <c r="M613" i="2"/>
  <c r="M612" i="2"/>
  <c r="M611" i="2"/>
  <c r="M610" i="2"/>
  <c r="E618" i="2"/>
  <c r="E617" i="2"/>
  <c r="E613" i="2"/>
  <c r="E612" i="2"/>
  <c r="E611" i="2"/>
  <c r="L778" i="2"/>
  <c r="L754" i="2"/>
  <c r="L742" i="2"/>
  <c r="L730" i="2"/>
  <c r="L784" i="2"/>
  <c r="L783" i="2"/>
  <c r="L782" i="2"/>
  <c r="L781" i="2"/>
  <c r="L772" i="2"/>
  <c r="L771" i="2"/>
  <c r="L770" i="2"/>
  <c r="L769" i="2"/>
  <c r="L760" i="2"/>
  <c r="L759" i="2"/>
  <c r="L758" i="2"/>
  <c r="L757" i="2"/>
  <c r="L748" i="2"/>
  <c r="L747" i="2"/>
  <c r="L746" i="2"/>
  <c r="L745" i="2"/>
  <c r="L736" i="2"/>
  <c r="L735" i="2"/>
  <c r="L734" i="2"/>
  <c r="L733" i="2"/>
  <c r="L718" i="2"/>
  <c r="L724" i="2"/>
  <c r="L723" i="2"/>
  <c r="L722" i="2"/>
  <c r="L721" i="2"/>
  <c r="L712" i="2"/>
  <c r="L711" i="2"/>
  <c r="L710" i="2"/>
  <c r="L709" i="2"/>
  <c r="L695" i="2"/>
  <c r="L701" i="2"/>
  <c r="L700" i="2"/>
  <c r="L699" i="2"/>
  <c r="L698" i="2"/>
  <c r="L687" i="2"/>
  <c r="L686" i="2"/>
  <c r="L685" i="2"/>
  <c r="L684" i="2"/>
  <c r="L681" i="2"/>
  <c r="L680" i="2"/>
  <c r="L673" i="2"/>
  <c r="L672" i="2"/>
  <c r="L671" i="2"/>
  <c r="L670" i="2"/>
  <c r="L667" i="2"/>
  <c r="L666" i="2"/>
  <c r="L659" i="2"/>
  <c r="L658" i="2"/>
  <c r="L657" i="2"/>
  <c r="L656" i="2"/>
  <c r="L653" i="2"/>
  <c r="L652" i="2"/>
  <c r="L591" i="2"/>
  <c r="L590" i="2"/>
  <c r="L589" i="2"/>
  <c r="L588" i="2"/>
  <c r="L585" i="2"/>
  <c r="L584" i="2"/>
  <c r="L583" i="2"/>
  <c r="L582" i="2"/>
  <c r="L482" i="2"/>
  <c r="L481" i="2"/>
  <c r="L480" i="2"/>
  <c r="L479" i="2"/>
  <c r="L475" i="2"/>
  <c r="D434" i="2"/>
  <c r="L441" i="2"/>
  <c r="O441" i="2" s="1"/>
  <c r="L440" i="2"/>
  <c r="O440" i="2" s="1"/>
  <c r="L439" i="2"/>
  <c r="O439" i="2" s="1"/>
  <c r="L438" i="2"/>
  <c r="O438" i="2" s="1"/>
  <c r="L435" i="2"/>
  <c r="O435" i="2" s="1"/>
  <c r="L433" i="2"/>
  <c r="O433" i="2" s="1"/>
  <c r="L427" i="2"/>
  <c r="L426" i="2"/>
  <c r="L425" i="2"/>
  <c r="L424" i="2"/>
  <c r="L421" i="2"/>
  <c r="L420" i="2"/>
  <c r="L418" i="2"/>
  <c r="L412" i="2"/>
  <c r="L411" i="2"/>
  <c r="L410" i="2"/>
  <c r="L409" i="2"/>
  <c r="L406" i="2"/>
  <c r="L405" i="2"/>
  <c r="L399" i="2"/>
  <c r="L398" i="2"/>
  <c r="L397" i="2"/>
  <c r="L396" i="2"/>
  <c r="L393" i="2"/>
  <c r="L392" i="2"/>
  <c r="L390" i="2"/>
  <c r="L384" i="2"/>
  <c r="L383" i="2"/>
  <c r="L382" i="2"/>
  <c r="L381" i="2"/>
  <c r="L378" i="2"/>
  <c r="L377" i="2"/>
  <c r="L375" i="2"/>
  <c r="L367" i="2"/>
  <c r="L366" i="2"/>
  <c r="L365" i="2"/>
  <c r="L364" i="2"/>
  <c r="L342" i="2"/>
  <c r="L341" i="2"/>
  <c r="L340" i="2"/>
  <c r="L339" i="2"/>
  <c r="L181" i="2"/>
  <c r="L180" i="2"/>
  <c r="L179" i="2"/>
  <c r="L178" i="2"/>
  <c r="L175" i="2"/>
  <c r="L164" i="2"/>
  <c r="L163" i="2"/>
  <c r="L162" i="2"/>
  <c r="L161" i="2"/>
  <c r="L158" i="2"/>
  <c r="L151" i="2"/>
  <c r="L150" i="2"/>
  <c r="L149" i="2"/>
  <c r="L148" i="2"/>
  <c r="L145" i="2"/>
  <c r="L138" i="2"/>
  <c r="L137" i="2"/>
  <c r="L136" i="2"/>
  <c r="L135" i="2"/>
  <c r="L132" i="2"/>
  <c r="L39" i="2"/>
  <c r="L38" i="2"/>
  <c r="F45" i="12"/>
  <c r="E45" i="12"/>
  <c r="D45" i="12"/>
  <c r="F39" i="12"/>
  <c r="F41" i="12"/>
  <c r="F42" i="12"/>
  <c r="F43" i="12"/>
  <c r="F44" i="12"/>
  <c r="F48" i="12"/>
  <c r="F49" i="12"/>
  <c r="F60" i="12"/>
  <c r="F61" i="12"/>
  <c r="F63" i="12"/>
  <c r="F65" i="12"/>
  <c r="F66" i="12"/>
  <c r="F67" i="12"/>
  <c r="F69" i="12"/>
  <c r="F70" i="12"/>
  <c r="F71" i="12"/>
  <c r="F72" i="12"/>
  <c r="F73" i="12"/>
  <c r="F74" i="12"/>
  <c r="F75" i="12"/>
  <c r="F76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7" i="12"/>
  <c r="D67" i="12"/>
  <c r="E66" i="12"/>
  <c r="D66" i="12"/>
  <c r="E65" i="12"/>
  <c r="D65" i="12"/>
  <c r="E63" i="12"/>
  <c r="D63" i="12"/>
  <c r="E61" i="12"/>
  <c r="D61" i="12"/>
  <c r="E60" i="12"/>
  <c r="D60" i="12"/>
  <c r="E49" i="12"/>
  <c r="D49" i="12"/>
  <c r="E48" i="12"/>
  <c r="D48" i="12"/>
  <c r="E44" i="12"/>
  <c r="D44" i="12"/>
  <c r="E43" i="12"/>
  <c r="D43" i="12"/>
  <c r="E42" i="12"/>
  <c r="D42" i="12"/>
  <c r="E41" i="12"/>
  <c r="D41" i="12"/>
  <c r="E39" i="12"/>
  <c r="D39" i="12"/>
  <c r="F37" i="12"/>
  <c r="F24" i="12"/>
  <c r="F25" i="12"/>
  <c r="F26" i="12"/>
  <c r="F20" i="12"/>
  <c r="F21" i="12"/>
  <c r="F22" i="12"/>
  <c r="F14" i="12"/>
  <c r="F15" i="12"/>
  <c r="F17" i="12"/>
  <c r="F18" i="12"/>
  <c r="F8" i="12"/>
  <c r="F9" i="12"/>
  <c r="F10" i="12"/>
  <c r="F11" i="12"/>
  <c r="F12" i="12"/>
  <c r="E37" i="12"/>
  <c r="D37" i="12"/>
  <c r="E18" i="12"/>
  <c r="E26" i="12"/>
  <c r="D26" i="12"/>
  <c r="E25" i="12"/>
  <c r="D25" i="12"/>
  <c r="E24" i="12"/>
  <c r="E22" i="12"/>
  <c r="D24" i="12"/>
  <c r="D22" i="12"/>
  <c r="E21" i="12"/>
  <c r="D21" i="12"/>
  <c r="E20" i="12"/>
  <c r="D20" i="12"/>
  <c r="D18" i="12"/>
  <c r="D17" i="12"/>
  <c r="E17" i="12"/>
  <c r="E15" i="12"/>
  <c r="D15" i="12"/>
  <c r="E14" i="12"/>
  <c r="D14" i="12"/>
  <c r="E12" i="12"/>
  <c r="E11" i="12"/>
  <c r="E10" i="12"/>
  <c r="E9" i="12"/>
  <c r="E8" i="12"/>
  <c r="D12" i="12"/>
  <c r="D11" i="12"/>
  <c r="D10" i="12"/>
  <c r="D9" i="12"/>
  <c r="D8" i="12"/>
  <c r="F6" i="12"/>
  <c r="E6" i="12"/>
  <c r="D6" i="12"/>
  <c r="F5" i="12"/>
  <c r="E5" i="12"/>
  <c r="D5" i="12"/>
  <c r="L766" i="2"/>
  <c r="L706" i="2"/>
  <c r="L679" i="2"/>
  <c r="L665" i="2"/>
  <c r="L651" i="2"/>
  <c r="G931" i="15" l="1"/>
  <c r="G932" i="15" s="1"/>
  <c r="G942" i="15" s="1"/>
  <c r="G943" i="15" s="1"/>
  <c r="G944" i="15" s="1"/>
  <c r="F968" i="15"/>
  <c r="G921" i="15"/>
  <c r="G922" i="15" s="1"/>
  <c r="L125" i="6" s="1"/>
  <c r="N125" i="6" s="1"/>
  <c r="N128" i="6" s="1"/>
  <c r="G656" i="15"/>
  <c r="G657" i="15" s="1"/>
  <c r="G658" i="15" s="1"/>
  <c r="L69" i="6" s="1"/>
  <c r="G621" i="15"/>
  <c r="G622" i="15" s="1"/>
  <c r="G623" i="15" s="1"/>
  <c r="K38" i="12"/>
  <c r="O563" i="2"/>
  <c r="O564" i="2" s="1"/>
  <c r="K58" i="12" s="1"/>
  <c r="O532" i="2"/>
  <c r="O552" i="2"/>
  <c r="O632" i="2"/>
  <c r="O633" i="2" s="1"/>
  <c r="K62" i="12" s="1"/>
  <c r="O546" i="2"/>
  <c r="O538" i="2"/>
  <c r="O644" i="2"/>
  <c r="O645" i="2" s="1"/>
  <c r="O577" i="2"/>
  <c r="O578" i="2" s="1"/>
  <c r="K59" i="12" s="1"/>
  <c r="O509" i="2"/>
  <c r="O457" i="2"/>
  <c r="O458" i="2" s="1"/>
  <c r="K47" i="12" s="1"/>
  <c r="O470" i="2"/>
  <c r="O471" i="2" s="1"/>
  <c r="O496" i="2"/>
  <c r="O522" i="2"/>
  <c r="O490" i="2"/>
  <c r="O516" i="2"/>
  <c r="O503" i="2"/>
  <c r="O442" i="2"/>
  <c r="F989" i="15" l="1"/>
  <c r="G989" i="15" s="1"/>
  <c r="G990" i="15" s="1"/>
  <c r="G1000" i="15" s="1"/>
  <c r="G1001" i="15" s="1"/>
  <c r="G1002" i="15" s="1"/>
  <c r="L94" i="6" s="1"/>
  <c r="N94" i="6" s="1"/>
  <c r="G968" i="15"/>
  <c r="G969" i="15" s="1"/>
  <c r="G979" i="15" s="1"/>
  <c r="G950" i="15"/>
  <c r="G951" i="15" s="1"/>
  <c r="G952" i="15" s="1"/>
  <c r="F948" i="15"/>
  <c r="G948" i="15" s="1"/>
  <c r="G630" i="15"/>
  <c r="G631" i="15" s="1"/>
  <c r="G637" i="15" s="1"/>
  <c r="G638" i="15" s="1"/>
  <c r="G639" i="15" s="1"/>
  <c r="O539" i="2"/>
  <c r="O553" i="2"/>
  <c r="O510" i="2"/>
  <c r="K52" i="12" s="1"/>
  <c r="O523" i="2"/>
  <c r="K53" i="12" s="1"/>
  <c r="O497" i="2"/>
  <c r="K51" i="12" s="1"/>
  <c r="G980" i="15" l="1"/>
  <c r="G981" i="15" s="1"/>
  <c r="L93" i="6" s="1"/>
  <c r="N93" i="6" s="1"/>
  <c r="L91" i="6"/>
  <c r="N91" i="6" s="1"/>
  <c r="F956" i="15"/>
  <c r="G956" i="15" s="1"/>
  <c r="G958" i="15"/>
  <c r="G959" i="15" s="1"/>
  <c r="G960" i="15" s="1"/>
  <c r="L92" i="6" s="1"/>
  <c r="N92" i="6" s="1"/>
  <c r="N69" i="6"/>
  <c r="N68" i="6"/>
  <c r="K54" i="12"/>
  <c r="N87" i="6" l="1"/>
  <c r="L476" i="2" l="1"/>
  <c r="B113" i="8" l="1"/>
  <c r="B118" i="8" s="1"/>
  <c r="B112" i="8"/>
  <c r="B117" i="8" s="1"/>
  <c r="B122" i="8" s="1"/>
  <c r="L173" i="2"/>
  <c r="O784" i="2" l="1"/>
  <c r="O778" i="2"/>
  <c r="O779" i="2" s="1"/>
  <c r="O770" i="2"/>
  <c r="O771" i="2"/>
  <c r="O772" i="2"/>
  <c r="O769" i="2"/>
  <c r="O766" i="2"/>
  <c r="O767" i="2" s="1"/>
  <c r="O746" i="2"/>
  <c r="O747" i="2"/>
  <c r="O748" i="2"/>
  <c r="O745" i="2"/>
  <c r="O742" i="2"/>
  <c r="O743" i="2" s="1"/>
  <c r="O754" i="2"/>
  <c r="O755" i="2" s="1"/>
  <c r="O730" i="2"/>
  <c r="O731" i="2" s="1"/>
  <c r="O718" i="2"/>
  <c r="O719" i="2" s="1"/>
  <c r="O706" i="2"/>
  <c r="O707" i="2" s="1"/>
  <c r="O722" i="2"/>
  <c r="O700" i="2"/>
  <c r="O724" i="2"/>
  <c r="O721" i="2"/>
  <c r="O695" i="2"/>
  <c r="O696" i="2" s="1"/>
  <c r="O760" i="2"/>
  <c r="O481" i="2"/>
  <c r="O475" i="2"/>
  <c r="O406" i="2"/>
  <c r="O405" i="2"/>
  <c r="O410" i="2"/>
  <c r="O411" i="2"/>
  <c r="O412" i="2"/>
  <c r="O409" i="2"/>
  <c r="O393" i="2"/>
  <c r="O392" i="2"/>
  <c r="O390" i="2"/>
  <c r="O397" i="2"/>
  <c r="O398" i="2"/>
  <c r="O399" i="2"/>
  <c r="O396" i="2"/>
  <c r="O425" i="2"/>
  <c r="O426" i="2"/>
  <c r="O427" i="2"/>
  <c r="O424" i="2"/>
  <c r="O382" i="2"/>
  <c r="O383" i="2"/>
  <c r="O384" i="2"/>
  <c r="O381" i="2"/>
  <c r="O378" i="2"/>
  <c r="O377" i="2"/>
  <c r="O375" i="2"/>
  <c r="O421" i="2"/>
  <c r="O420" i="2"/>
  <c r="O418" i="2"/>
  <c r="D419" i="2"/>
  <c r="O671" i="2"/>
  <c r="O673" i="2"/>
  <c r="O670" i="2"/>
  <c r="O685" i="2"/>
  <c r="O686" i="2"/>
  <c r="O687" i="2"/>
  <c r="O684" i="2"/>
  <c r="O681" i="2"/>
  <c r="O680" i="2"/>
  <c r="O679" i="2"/>
  <c r="O667" i="2"/>
  <c r="O666" i="2"/>
  <c r="O665" i="2"/>
  <c r="O657" i="2"/>
  <c r="O658" i="2"/>
  <c r="O659" i="2"/>
  <c r="O656" i="2"/>
  <c r="O653" i="2"/>
  <c r="O652" i="2"/>
  <c r="O651" i="2"/>
  <c r="O672" i="2"/>
  <c r="O701" i="2" l="1"/>
  <c r="O783" i="2"/>
  <c r="O773" i="2"/>
  <c r="O774" i="2" s="1"/>
  <c r="O699" i="2"/>
  <c r="O711" i="2"/>
  <c r="O749" i="2"/>
  <c r="O750" i="2" s="1"/>
  <c r="K73" i="12" s="1"/>
  <c r="O698" i="2"/>
  <c r="O736" i="2"/>
  <c r="O709" i="2"/>
  <c r="O759" i="2"/>
  <c r="O782" i="2"/>
  <c r="O733" i="2"/>
  <c r="O710" i="2"/>
  <c r="O712" i="2"/>
  <c r="O479" i="2"/>
  <c r="O476" i="2"/>
  <c r="O477" i="2" s="1"/>
  <c r="O480" i="2"/>
  <c r="O482" i="2"/>
  <c r="O407" i="2"/>
  <c r="O413" i="2"/>
  <c r="O400" i="2"/>
  <c r="O428" i="2"/>
  <c r="O385" i="2"/>
  <c r="O674" i="2"/>
  <c r="O660" i="2"/>
  <c r="O668" i="2"/>
  <c r="O682" i="2"/>
  <c r="O654" i="2"/>
  <c r="O688" i="2"/>
  <c r="K75" i="12" l="1"/>
  <c r="O723" i="2"/>
  <c r="O725" i="2" s="1"/>
  <c r="O726" i="2" s="1"/>
  <c r="K71" i="12" s="1"/>
  <c r="O702" i="2"/>
  <c r="O703" i="2" s="1"/>
  <c r="O713" i="2"/>
  <c r="O714" i="2" s="1"/>
  <c r="O757" i="2"/>
  <c r="O734" i="2"/>
  <c r="O735" i="2"/>
  <c r="O483" i="2"/>
  <c r="O484" i="2" s="1"/>
  <c r="O414" i="2"/>
  <c r="O661" i="2"/>
  <c r="O689" i="2"/>
  <c r="K67" i="12" s="1"/>
  <c r="O675" i="2"/>
  <c r="K70" i="12" l="1"/>
  <c r="K69" i="12"/>
  <c r="K66" i="12"/>
  <c r="K65" i="12"/>
  <c r="K49" i="12"/>
  <c r="K48" i="12"/>
  <c r="K43" i="12"/>
  <c r="O737" i="2"/>
  <c r="O738" i="2" s="1"/>
  <c r="K72" i="12" s="1"/>
  <c r="O781" i="2"/>
  <c r="O785" i="2" s="1"/>
  <c r="O786" i="2" s="1"/>
  <c r="K76" i="12" s="1"/>
  <c r="O758" i="2"/>
  <c r="O761" i="2" s="1"/>
  <c r="O762" i="2" s="1"/>
  <c r="K74" i="12" l="1"/>
  <c r="L172" i="2" l="1"/>
  <c r="L144" i="2"/>
  <c r="L391" i="2"/>
  <c r="O391" i="2" s="1"/>
  <c r="L376" i="2"/>
  <c r="O376" i="2" s="1"/>
  <c r="O379" i="2" s="1"/>
  <c r="O386" i="2" s="1"/>
  <c r="L157" i="2"/>
  <c r="L131" i="2"/>
  <c r="L434" i="2"/>
  <c r="O434" i="2" s="1"/>
  <c r="O436" i="2" s="1"/>
  <c r="O443" i="2" s="1"/>
  <c r="K45" i="12" s="1"/>
  <c r="L419" i="2"/>
  <c r="O419" i="2" s="1"/>
  <c r="O422" i="2" s="1"/>
  <c r="O429" i="2" s="1"/>
  <c r="O394" i="2" l="1"/>
  <c r="O401" i="2" s="1"/>
  <c r="K44" i="12"/>
  <c r="K41" i="12"/>
  <c r="O589" i="2"/>
  <c r="O590" i="2"/>
  <c r="O591" i="2"/>
  <c r="O585" i="2"/>
  <c r="O584" i="2"/>
  <c r="O583" i="2"/>
  <c r="O582" i="2"/>
  <c r="O365" i="2"/>
  <c r="O366" i="2"/>
  <c r="O367" i="2"/>
  <c r="O364" i="2"/>
  <c r="O361" i="2"/>
  <c r="O360" i="2"/>
  <c r="K42" i="12" l="1"/>
  <c r="O586" i="2"/>
  <c r="O588" i="2"/>
  <c r="O592" i="2" s="1"/>
  <c r="O368" i="2"/>
  <c r="O362" i="2"/>
  <c r="O369" i="2" l="1"/>
  <c r="O593" i="2"/>
  <c r="K60" i="12" s="1"/>
  <c r="K39" i="12" l="1"/>
  <c r="O342" i="2"/>
  <c r="O341" i="2"/>
  <c r="O340" i="2"/>
  <c r="O339" i="2"/>
  <c r="O336" i="2"/>
  <c r="O335" i="2"/>
  <c r="O320" i="2"/>
  <c r="O319" i="2"/>
  <c r="O318" i="2"/>
  <c r="O317" i="2"/>
  <c r="O316" i="2"/>
  <c r="O315" i="2"/>
  <c r="O302" i="2"/>
  <c r="O301" i="2"/>
  <c r="O300" i="2"/>
  <c r="O299" i="2"/>
  <c r="O298" i="2"/>
  <c r="O297" i="2"/>
  <c r="O202" i="2"/>
  <c r="O209" i="2"/>
  <c r="O210" i="2"/>
  <c r="O211" i="2"/>
  <c r="O208" i="2"/>
  <c r="D205" i="2"/>
  <c r="O205" i="2" s="1"/>
  <c r="O324" i="2"/>
  <c r="O325" i="2"/>
  <c r="O326" i="2"/>
  <c r="O323" i="2"/>
  <c r="O306" i="2"/>
  <c r="O307" i="2"/>
  <c r="O308" i="2"/>
  <c r="O305" i="2"/>
  <c r="L107" i="2"/>
  <c r="L108" i="2"/>
  <c r="L109" i="2"/>
  <c r="L106" i="2"/>
  <c r="O203" i="2"/>
  <c r="O204" i="2" l="1"/>
  <c r="O206" i="2" s="1"/>
  <c r="L174" i="2"/>
  <c r="O343" i="2"/>
  <c r="O337" i="2"/>
  <c r="O212" i="2"/>
  <c r="O303" i="2"/>
  <c r="O327" i="2"/>
  <c r="O321" i="2"/>
  <c r="O309" i="2"/>
  <c r="O344" i="2" l="1"/>
  <c r="O310" i="2"/>
  <c r="O311" i="2" s="1"/>
  <c r="O213" i="2"/>
  <c r="O328" i="2"/>
  <c r="O329" i="2" s="1"/>
  <c r="K35" i="12" s="1"/>
  <c r="K34" i="12" l="1"/>
  <c r="N51" i="6"/>
  <c r="K37" i="12"/>
  <c r="K26" i="12"/>
  <c r="N89" i="6" l="1"/>
  <c r="N49" i="6"/>
  <c r="N33" i="6"/>
  <c r="N53" i="6"/>
  <c r="N95" i="6" l="1"/>
  <c r="I16" i="21" s="1"/>
  <c r="N74" i="6"/>
  <c r="N85" i="6" s="1"/>
  <c r="O605" i="2" l="1"/>
  <c r="O599" i="2"/>
  <c r="O598" i="2"/>
  <c r="O597" i="2"/>
  <c r="O287" i="2"/>
  <c r="O284" i="2"/>
  <c r="O283" i="2"/>
  <c r="O282" i="2"/>
  <c r="O257" i="2"/>
  <c r="O266" i="2"/>
  <c r="O250" i="2"/>
  <c r="O280" i="2"/>
  <c r="O236" i="2"/>
  <c r="O235" i="2"/>
  <c r="O196" i="2"/>
  <c r="O195" i="2"/>
  <c r="O194" i="2"/>
  <c r="O193" i="2"/>
  <c r="O190" i="2"/>
  <c r="O189" i="2"/>
  <c r="O188" i="2"/>
  <c r="O187" i="2"/>
  <c r="O181" i="2"/>
  <c r="O180" i="2"/>
  <c r="O179" i="2"/>
  <c r="O178" i="2"/>
  <c r="O175" i="2"/>
  <c r="O174" i="2"/>
  <c r="O173" i="2"/>
  <c r="O172" i="2"/>
  <c r="O164" i="2"/>
  <c r="O158" i="2"/>
  <c r="O151" i="2"/>
  <c r="O145" i="2"/>
  <c r="O138" i="2"/>
  <c r="O137" i="2"/>
  <c r="O148" i="2"/>
  <c r="O131" i="2"/>
  <c r="O123" i="2"/>
  <c r="O117" i="2"/>
  <c r="O122" i="2"/>
  <c r="O108" i="2"/>
  <c r="O116" i="2"/>
  <c r="O102" i="2"/>
  <c r="O101" i="2"/>
  <c r="O80" i="2"/>
  <c r="O91" i="2"/>
  <c r="O73" i="2"/>
  <c r="O72" i="2"/>
  <c r="O64" i="2"/>
  <c r="O63" i="2"/>
  <c r="O60" i="2"/>
  <c r="O61" i="2" s="1"/>
  <c r="O54" i="2"/>
  <c r="O50" i="2"/>
  <c r="O51" i="2" s="1"/>
  <c r="O45" i="2"/>
  <c r="O39" i="2"/>
  <c r="O38" i="2"/>
  <c r="O25" i="2"/>
  <c r="O24" i="2"/>
  <c r="O18" i="2"/>
  <c r="O17" i="2"/>
  <c r="O16" i="2"/>
  <c r="O15" i="2"/>
  <c r="O11" i="2"/>
  <c r="O10" i="2"/>
  <c r="I15" i="21" l="1"/>
  <c r="O237" i="2"/>
  <c r="O19" i="2"/>
  <c r="O191" i="2"/>
  <c r="O197" i="2"/>
  <c r="O600" i="2"/>
  <c r="O87" i="2"/>
  <c r="O103" i="2"/>
  <c r="O104" i="2" s="1"/>
  <c r="O121" i="2"/>
  <c r="O136" i="2"/>
  <c r="O251" i="2"/>
  <c r="O604" i="2"/>
  <c r="O255" i="2"/>
  <c r="O289" i="2"/>
  <c r="O270" i="2"/>
  <c r="O53" i="2"/>
  <c r="O55" i="2" s="1"/>
  <c r="O56" i="2" s="1"/>
  <c r="O240" i="2"/>
  <c r="O242" i="2"/>
  <c r="O279" i="2"/>
  <c r="O78" i="2"/>
  <c r="O65" i="2"/>
  <c r="O66" i="2" s="1"/>
  <c r="O79" i="2"/>
  <c r="O135" i="2"/>
  <c r="O249" i="2"/>
  <c r="O107" i="2"/>
  <c r="O86" i="2"/>
  <c r="O90" i="2"/>
  <c r="O272" i="2"/>
  <c r="O157" i="2"/>
  <c r="O159" i="2" s="1"/>
  <c r="O265" i="2"/>
  <c r="O602" i="2"/>
  <c r="O77" i="2"/>
  <c r="O115" i="2"/>
  <c r="O163" i="2"/>
  <c r="O44" i="2"/>
  <c r="O46" i="2" s="1"/>
  <c r="O93" i="2"/>
  <c r="O109" i="2"/>
  <c r="O239" i="2"/>
  <c r="O241" i="2"/>
  <c r="O603" i="2"/>
  <c r="O182" i="2"/>
  <c r="O264" i="2"/>
  <c r="O288" i="2"/>
  <c r="O269" i="2"/>
  <c r="O271" i="2"/>
  <c r="O254" i="2"/>
  <c r="O256" i="2"/>
  <c r="O74" i="2"/>
  <c r="O75" i="2" s="1"/>
  <c r="O176" i="2"/>
  <c r="O40" i="2"/>
  <c r="K9" i="12" s="1"/>
  <c r="O33" i="2"/>
  <c r="O32" i="2"/>
  <c r="O26" i="2"/>
  <c r="O13" i="2"/>
  <c r="K10" i="12" l="1"/>
  <c r="K11" i="12"/>
  <c r="K12" i="12"/>
  <c r="K6" i="12"/>
  <c r="O118" i="2"/>
  <c r="O81" i="2"/>
  <c r="O82" i="2" s="1"/>
  <c r="O267" i="2"/>
  <c r="O198" i="2"/>
  <c r="K25" i="12" s="1"/>
  <c r="O606" i="2"/>
  <c r="O607" i="2" s="1"/>
  <c r="O252" i="2"/>
  <c r="O258" i="2"/>
  <c r="O243" i="2"/>
  <c r="O244" i="2" s="1"/>
  <c r="O245" i="2" s="1"/>
  <c r="O139" i="2"/>
  <c r="O20" i="2"/>
  <c r="K5" i="12" s="1"/>
  <c r="N17" i="6" s="1"/>
  <c r="O273" i="2"/>
  <c r="O88" i="2"/>
  <c r="O92" i="2"/>
  <c r="O94" i="2" s="1"/>
  <c r="O106" i="2"/>
  <c r="O110" i="2" s="1"/>
  <c r="O111" i="2" s="1"/>
  <c r="O149" i="2"/>
  <c r="O161" i="2"/>
  <c r="O281" i="2"/>
  <c r="O285" i="2" s="1"/>
  <c r="O120" i="2"/>
  <c r="O124" i="2" s="1"/>
  <c r="O290" i="2"/>
  <c r="O291" i="2" s="1"/>
  <c r="O150" i="2"/>
  <c r="O162" i="2"/>
  <c r="O183" i="2"/>
  <c r="K24" i="12" s="1"/>
  <c r="O34" i="2"/>
  <c r="N20" i="6" l="1"/>
  <c r="I10" i="21" s="1"/>
  <c r="K14" i="12"/>
  <c r="N23" i="6"/>
  <c r="I18" i="21"/>
  <c r="K8" i="12"/>
  <c r="O292" i="2"/>
  <c r="O293" i="2" s="1"/>
  <c r="K61" i="12"/>
  <c r="K17" i="12"/>
  <c r="O125" i="2"/>
  <c r="K28" i="12"/>
  <c r="O95" i="2"/>
  <c r="O274" i="2"/>
  <c r="O275" i="2" s="1"/>
  <c r="O152" i="2"/>
  <c r="O259" i="2"/>
  <c r="O260" i="2" s="1"/>
  <c r="O165" i="2"/>
  <c r="O166" i="2" s="1"/>
  <c r="O144" i="2"/>
  <c r="O132" i="2"/>
  <c r="K31" i="12" l="1"/>
  <c r="K32" i="12"/>
  <c r="K33" i="12"/>
  <c r="K15" i="12"/>
  <c r="N22" i="6"/>
  <c r="N25" i="6" s="1"/>
  <c r="I11" i="21" s="1"/>
  <c r="N137" i="6"/>
  <c r="K22" i="12"/>
  <c r="K18" i="12"/>
  <c r="O146" i="2"/>
  <c r="O133" i="2"/>
  <c r="K63" i="12"/>
  <c r="N64" i="6" l="1"/>
  <c r="N65" i="6"/>
  <c r="O153" i="2"/>
  <c r="O140" i="2"/>
  <c r="K20" i="12" s="1"/>
  <c r="N70" i="6" l="1"/>
  <c r="I14" i="21" s="1"/>
  <c r="K21" i="12"/>
  <c r="N47" i="6"/>
  <c r="L48" i="6" l="1"/>
  <c r="N48" i="6" s="1"/>
  <c r="L44" i="6"/>
  <c r="N44" i="6" s="1"/>
  <c r="L40" i="6"/>
  <c r="N40" i="6" s="1"/>
  <c r="N32" i="6"/>
  <c r="N52" i="6" l="1"/>
  <c r="N62" i="6" s="1"/>
  <c r="I13" i="21" l="1"/>
  <c r="I21" i="21" s="1"/>
  <c r="I22" i="21" s="1"/>
  <c r="I23" i="21" s="1"/>
  <c r="I24" i="21" l="1"/>
  <c r="P162" i="6" s="1"/>
  <c r="P20" i="6"/>
  <c r="P21" i="6" s="1"/>
  <c r="P163" i="6" l="1"/>
  <c r="L32" i="8" s="1"/>
  <c r="M24" i="21"/>
  <c r="Q154" i="6"/>
  <c r="C1" i="17" l="1"/>
</calcChain>
</file>

<file path=xl/sharedStrings.xml><?xml version="1.0" encoding="utf-8"?>
<sst xmlns="http://schemas.openxmlformats.org/spreadsheetml/2006/main" count="8134" uniqueCount="1290">
  <si>
    <t>Jumlah</t>
  </si>
  <si>
    <t>B</t>
  </si>
  <si>
    <t>PA</t>
  </si>
  <si>
    <t>1 m'</t>
  </si>
  <si>
    <t>6.4.1.</t>
  </si>
  <si>
    <t>Bahan</t>
  </si>
  <si>
    <t>Kayu Kelas III</t>
  </si>
  <si>
    <t>M3</t>
  </si>
  <si>
    <t>x</t>
  </si>
  <si>
    <t>Rp</t>
  </si>
  <si>
    <t>=</t>
  </si>
  <si>
    <t>Paku biasa</t>
  </si>
  <si>
    <t>Kg</t>
  </si>
  <si>
    <t>Jumlah (1)</t>
  </si>
  <si>
    <t>6.4.2.</t>
  </si>
  <si>
    <t>Tenaga</t>
  </si>
  <si>
    <t>Oh</t>
  </si>
  <si>
    <t>Pekerja</t>
  </si>
  <si>
    <t>Kepala tukang</t>
  </si>
  <si>
    <t>Mandor</t>
  </si>
  <si>
    <t>Jumlah (2)</t>
  </si>
  <si>
    <t>Jumlah (1) + (2)</t>
  </si>
  <si>
    <t>6.8.1</t>
  </si>
  <si>
    <t>PT</t>
  </si>
  <si>
    <t>1 m³</t>
  </si>
  <si>
    <t>Galian tanah biasa sedalam 1 meter</t>
  </si>
  <si>
    <t>6.1.1.</t>
  </si>
  <si>
    <t>Rp.</t>
  </si>
  <si>
    <t>Galian tanah biasa sedalam 2 meter</t>
  </si>
  <si>
    <t xml:space="preserve"> </t>
  </si>
  <si>
    <t>6.2.1.</t>
  </si>
  <si>
    <t>PEKERJAAN TANAH</t>
  </si>
  <si>
    <t>PEKERJAAN PERSIAPAN</t>
  </si>
  <si>
    <t>Urugan kembali (1/3 dari koefisien galian)</t>
  </si>
  <si>
    <t>6.9.1.</t>
  </si>
  <si>
    <t xml:space="preserve">Tenaga </t>
  </si>
  <si>
    <t>Pasir urug</t>
  </si>
  <si>
    <t>M³</t>
  </si>
  <si>
    <t>6.11.a</t>
  </si>
  <si>
    <t>6.11a.1.</t>
  </si>
  <si>
    <t>6.11a.2.</t>
  </si>
  <si>
    <t>6.11.b</t>
  </si>
  <si>
    <t>6.11b.1.</t>
  </si>
  <si>
    <t>6.11b.2.</t>
  </si>
  <si>
    <t>Urugan tanah urug</t>
  </si>
  <si>
    <t>PEKERJAAN PONDASI</t>
  </si>
  <si>
    <t>PP</t>
  </si>
  <si>
    <t>1 M³</t>
  </si>
  <si>
    <t>Pasang pondasi batu belah 1 Pc : 4 Pp</t>
  </si>
  <si>
    <t>Pasir Pasang</t>
  </si>
  <si>
    <t>6.2.2.</t>
  </si>
  <si>
    <t>Tukang batu</t>
  </si>
  <si>
    <t>Jumlah (1) +(2)</t>
  </si>
  <si>
    <t>Pasang pondasi batu kosong</t>
  </si>
  <si>
    <t>PEKERJAAN DINDING</t>
  </si>
  <si>
    <t>PD</t>
  </si>
  <si>
    <t xml:space="preserve">6.7.1 </t>
  </si>
  <si>
    <t>Batu bata cetak mesin</t>
  </si>
  <si>
    <t>Bh</t>
  </si>
  <si>
    <t>Semen portland</t>
  </si>
  <si>
    <t>Pasir pasang</t>
  </si>
  <si>
    <t>6.7.2</t>
  </si>
  <si>
    <t xml:space="preserve">6.9.1 </t>
  </si>
  <si>
    <t>6.9.2</t>
  </si>
  <si>
    <t>PEKERJAAN PLESTERAN</t>
  </si>
  <si>
    <t>PL</t>
  </si>
  <si>
    <t>6.3.1.</t>
  </si>
  <si>
    <t>6.3.2.</t>
  </si>
  <si>
    <t>PEKERJAAN BETON</t>
  </si>
  <si>
    <t>PB</t>
  </si>
  <si>
    <t>6.1.1</t>
  </si>
  <si>
    <t>Pasir beton</t>
  </si>
  <si>
    <t>Kerikil beton</t>
  </si>
  <si>
    <t>Air</t>
  </si>
  <si>
    <t>Ltr</t>
  </si>
  <si>
    <t>6.1.2.</t>
  </si>
  <si>
    <t xml:space="preserve">6.5.1. </t>
  </si>
  <si>
    <t>6.5.2.</t>
  </si>
  <si>
    <t>6.17.1.</t>
  </si>
  <si>
    <t>Kawat beton</t>
  </si>
  <si>
    <t>6.17.2.</t>
  </si>
  <si>
    <t>6.20.1</t>
  </si>
  <si>
    <t>Kayu kelas III</t>
  </si>
  <si>
    <t>Minyak bekisting</t>
  </si>
  <si>
    <t>6.20.2.</t>
  </si>
  <si>
    <t>6.21.1.</t>
  </si>
  <si>
    <t>6.21.2.</t>
  </si>
  <si>
    <t>6.22.1.</t>
  </si>
  <si>
    <t>Tripleks tebal 9 mm</t>
  </si>
  <si>
    <t>Lbr</t>
  </si>
  <si>
    <t>Btg</t>
  </si>
  <si>
    <t>6.22.2.</t>
  </si>
  <si>
    <t>PEKERJAAN PENUTUP ATAP</t>
  </si>
  <si>
    <t>Kepala Tukang</t>
  </si>
  <si>
    <t xml:space="preserve"> Bahan</t>
  </si>
  <si>
    <t xml:space="preserve"> Tenaga</t>
  </si>
  <si>
    <t>PC</t>
  </si>
  <si>
    <t>6.20.2</t>
  </si>
  <si>
    <t>PEKERJAAN PENGECATAN</t>
  </si>
  <si>
    <t>PEKERJAAN BESI DAN ALUMUNIUM</t>
  </si>
  <si>
    <t>PBA</t>
  </si>
  <si>
    <t xml:space="preserve">  </t>
  </si>
  <si>
    <t>6.5.1</t>
  </si>
  <si>
    <t>Tukang</t>
  </si>
  <si>
    <t>HARGA</t>
  </si>
  <si>
    <t>SATUAN</t>
  </si>
  <si>
    <t>A.</t>
  </si>
  <si>
    <t>B.</t>
  </si>
  <si>
    <t>Lem Kayu</t>
  </si>
  <si>
    <t>M'</t>
  </si>
  <si>
    <t>Kunci tanam biasa</t>
  </si>
  <si>
    <t>Plamir</t>
  </si>
  <si>
    <t>Kuas</t>
  </si>
  <si>
    <t>Tempat sabun keramik</t>
  </si>
  <si>
    <t>6.14.1</t>
  </si>
  <si>
    <t>Cat dasar</t>
  </si>
  <si>
    <t>Cat Tembok setara Vinilex</t>
  </si>
  <si>
    <t>6.14.2</t>
  </si>
  <si>
    <t>ANALISA HARGA SATUAN PEKERJAAN</t>
  </si>
  <si>
    <t>No.</t>
  </si>
  <si>
    <t>URAIAN PEKERJAAN</t>
  </si>
  <si>
    <t>VOLUME</t>
  </si>
  <si>
    <t>ANALISA</t>
  </si>
  <si>
    <t xml:space="preserve">JUMLAH </t>
  </si>
  <si>
    <t xml:space="preserve">HARGA </t>
  </si>
  <si>
    <t>Biaya</t>
  </si>
  <si>
    <t>Tahun Anggaran</t>
  </si>
  <si>
    <t>:</t>
  </si>
  <si>
    <t xml:space="preserve">Pembesian 10 kg besi polos </t>
  </si>
  <si>
    <t>Untuk 1 Kg pekerjaan pembesian dengan besi polos 1/10</t>
  </si>
  <si>
    <t>Besi beton polos</t>
  </si>
  <si>
    <t>Pengukuran dan Pemasangan bowplank</t>
  </si>
  <si>
    <t>Ls</t>
  </si>
  <si>
    <t>Taksir</t>
  </si>
  <si>
    <t>REKAPITULASI</t>
  </si>
  <si>
    <t>JUMLAH</t>
  </si>
  <si>
    <t>TOTAL</t>
  </si>
  <si>
    <t>Batu Koral</t>
  </si>
  <si>
    <t>Untuk 3x pakai</t>
  </si>
  <si>
    <t>Batu kali</t>
  </si>
  <si>
    <t>Kg/M'</t>
  </si>
  <si>
    <t>L</t>
  </si>
  <si>
    <t>Berat</t>
  </si>
  <si>
    <t>Beugel</t>
  </si>
  <si>
    <t>H</t>
  </si>
  <si>
    <t>DAFTAR HARGA UPAH DAN BAHAN</t>
  </si>
  <si>
    <t>No</t>
  </si>
  <si>
    <t>URAIAN</t>
  </si>
  <si>
    <t>UPAH</t>
  </si>
  <si>
    <t>Orang/Hari</t>
  </si>
  <si>
    <t>BAHAN</t>
  </si>
  <si>
    <t>Pasangan dan beton</t>
  </si>
  <si>
    <t>Tanah timbun/urug</t>
  </si>
  <si>
    <r>
      <t>/M</t>
    </r>
    <r>
      <rPr>
        <vertAlign val="superscript"/>
        <sz val="10"/>
        <rFont val="Arial"/>
        <family val="2"/>
      </rPr>
      <t>3</t>
    </r>
  </si>
  <si>
    <t>/M³</t>
  </si>
  <si>
    <t>/Buah</t>
  </si>
  <si>
    <t>/Zak</t>
  </si>
  <si>
    <t>/Kg</t>
  </si>
  <si>
    <t>Semen warna</t>
  </si>
  <si>
    <t>Sirtu</t>
  </si>
  <si>
    <t>/Lbr</t>
  </si>
  <si>
    <t>/Liter</t>
  </si>
  <si>
    <t>Besi beton ulir</t>
  </si>
  <si>
    <t>Kayu</t>
  </si>
  <si>
    <t>Kayu kelas II</t>
  </si>
  <si>
    <t>Kayu Perancah</t>
  </si>
  <si>
    <t>Kayu/Papan Bekisting</t>
  </si>
  <si>
    <t>/Btg</t>
  </si>
  <si>
    <t>Atap dan plafond</t>
  </si>
  <si>
    <t xml:space="preserve">Konstruksi kuda-kuda baja ringan </t>
  </si>
  <si>
    <r>
      <t>/M</t>
    </r>
    <r>
      <rPr>
        <vertAlign val="superscript"/>
        <sz val="10"/>
        <rFont val="Arial"/>
        <family val="2"/>
      </rPr>
      <t>2</t>
    </r>
  </si>
  <si>
    <t>/M'</t>
  </si>
  <si>
    <t>Paku Skrup</t>
  </si>
  <si>
    <t>/Bh</t>
  </si>
  <si>
    <t>Tepung Gypsum</t>
  </si>
  <si>
    <t>Bon-bon keramik</t>
  </si>
  <si>
    <t>Cat dan Residu</t>
  </si>
  <si>
    <t>Minyak cat</t>
  </si>
  <si>
    <t>Kertas amplas</t>
  </si>
  <si>
    <t>/Lembar</t>
  </si>
  <si>
    <t>Instalasi listrik</t>
  </si>
  <si>
    <t>Stop Kontak</t>
  </si>
  <si>
    <t>Schakelar tunggal</t>
  </si>
  <si>
    <t xml:space="preserve">Schakelar Triple </t>
  </si>
  <si>
    <t>Kunci-Kunci dan Kaca</t>
  </si>
  <si>
    <t>Kunci tanam 2 slaag</t>
  </si>
  <si>
    <t>Engsel pintu</t>
  </si>
  <si>
    <t>/Psg</t>
  </si>
  <si>
    <t>Engsel jendela / ventilasi</t>
  </si>
  <si>
    <t>Grendel jendela</t>
  </si>
  <si>
    <t>Hak angin jendela</t>
  </si>
  <si>
    <t>Pegengan jendela</t>
  </si>
  <si>
    <t>Kaca Bening, t = 5 mm</t>
  </si>
  <si>
    <t>Kaca Rayband, t = 5 mm</t>
  </si>
  <si>
    <t>Kaca Block/Glass Block</t>
  </si>
  <si>
    <t>Sanitair</t>
  </si>
  <si>
    <t>Kran air</t>
  </si>
  <si>
    <t>Closet jongkok</t>
  </si>
  <si>
    <t>Floor drain</t>
  </si>
  <si>
    <t>Wastafel + Accessories</t>
  </si>
  <si>
    <t>/Unit</t>
  </si>
  <si>
    <t>Pipa PVC Ø 1/2"</t>
  </si>
  <si>
    <t>Pipa PVC Ø 3/4"</t>
  </si>
  <si>
    <t>Pipa PVC Ø 1 1/2"</t>
  </si>
  <si>
    <t>Pipa PVC Ø 2"</t>
  </si>
  <si>
    <t>Pipa PVC Ø 2 1/2"</t>
  </si>
  <si>
    <t>Pipa PVC Ø 3"</t>
  </si>
  <si>
    <t>Pipa PVC Ø 4"</t>
  </si>
  <si>
    <t>Seal tape</t>
  </si>
  <si>
    <t>6.23.1.</t>
  </si>
  <si>
    <t>6.23.2.</t>
  </si>
  <si>
    <t>6.24.1.</t>
  </si>
  <si>
    <t>6.24.2.</t>
  </si>
  <si>
    <t xml:space="preserve">6.7.1. </t>
  </si>
  <si>
    <t>6.7.2.</t>
  </si>
  <si>
    <t>6.36.1</t>
  </si>
  <si>
    <t>Nok genteng metal/multi roof (Decra bond)</t>
  </si>
  <si>
    <t>6.36.2</t>
  </si>
  <si>
    <t>Cat menie kayu</t>
  </si>
  <si>
    <t>6.8.2</t>
  </si>
  <si>
    <t>Kunci Tanam untuk Pintu Alumunium</t>
  </si>
  <si>
    <t>Kaca Bening, t = 3 mm</t>
  </si>
  <si>
    <t>Engsel Pintu Tanam/Floor Hinge untuk Pintu Alumunium</t>
  </si>
  <si>
    <t>Pegangan Pintu/Door Holder</t>
  </si>
  <si>
    <t>Sealant</t>
  </si>
  <si>
    <t>Profil Alumunium untuk Daun Pintu</t>
  </si>
  <si>
    <t>Profil Alumunium untuk Daun Jendela</t>
  </si>
  <si>
    <t>Skrup Fixer</t>
  </si>
  <si>
    <t>Profil Kaca</t>
  </si>
  <si>
    <t>/Set</t>
  </si>
  <si>
    <t>PEKERJAAN PENUTUP LANTAI DAN DINDING</t>
  </si>
  <si>
    <t xml:space="preserve">Batu kelapa/belah </t>
  </si>
  <si>
    <t>Rangka furing plafond gypsum</t>
  </si>
  <si>
    <t>Kayu List Profil</t>
  </si>
  <si>
    <t>Paku/skrup Gipsum</t>
  </si>
  <si>
    <t>Set</t>
  </si>
  <si>
    <t>6.11.1</t>
  </si>
  <si>
    <t>6.11.2.</t>
  </si>
  <si>
    <t>6.18.1</t>
  </si>
  <si>
    <t>Skrup fixer</t>
  </si>
  <si>
    <t>BH</t>
  </si>
  <si>
    <t>Tube</t>
  </si>
  <si>
    <t>OH</t>
  </si>
  <si>
    <t>Memasang daunpintu kaca rangka alumunium</t>
  </si>
  <si>
    <t>Profil kaca</t>
  </si>
  <si>
    <t>Memasang daun jendela kaca rangka alumunium</t>
  </si>
  <si>
    <t>6.18.2</t>
  </si>
  <si>
    <t>6.19</t>
  </si>
  <si>
    <t>6.19.1</t>
  </si>
  <si>
    <t>6.19.2</t>
  </si>
  <si>
    <t>PPL</t>
  </si>
  <si>
    <t>Ubin keramik 20 x 20 cm</t>
  </si>
  <si>
    <t>6.54.1.</t>
  </si>
  <si>
    <t>6.54.2.</t>
  </si>
  <si>
    <t>6.43.1</t>
  </si>
  <si>
    <t>6.43.2</t>
  </si>
  <si>
    <t>6.44.1.</t>
  </si>
  <si>
    <t>Carpet</t>
  </si>
  <si>
    <t>6.44.2.</t>
  </si>
  <si>
    <t>Lem Carpet</t>
  </si>
  <si>
    <t>PEKERJAAN LANGIT-LANGIT</t>
  </si>
  <si>
    <t>PLL</t>
  </si>
  <si>
    <t>6.7.1</t>
  </si>
  <si>
    <t>Gypsum 120 x 240 tebal 9 mm</t>
  </si>
  <si>
    <t>Paku skrup</t>
  </si>
  <si>
    <t>List profil gypsum</t>
  </si>
  <si>
    <t>Tepung gypsum</t>
  </si>
  <si>
    <t>PEKERJAAN KUNCI DAN KACA</t>
  </si>
  <si>
    <t>PKK</t>
  </si>
  <si>
    <t>6.4.1</t>
  </si>
  <si>
    <t>6.4.2</t>
  </si>
  <si>
    <t>6.5.2</t>
  </si>
  <si>
    <t>6.6.1</t>
  </si>
  <si>
    <t>6.6.2</t>
  </si>
  <si>
    <t>6.9.1</t>
  </si>
  <si>
    <t>6.12.1</t>
  </si>
  <si>
    <t>6.12.2</t>
  </si>
  <si>
    <t>6.17.1</t>
  </si>
  <si>
    <t>6.17.2</t>
  </si>
  <si>
    <t>6.11.2</t>
  </si>
  <si>
    <t>Grendel/pacok jendela</t>
  </si>
  <si>
    <t>6.15.1</t>
  </si>
  <si>
    <t>6.15.2</t>
  </si>
  <si>
    <t>Slot/grendel tanam untuk pintu double</t>
  </si>
  <si>
    <t>Schakelar seri/ganda</t>
  </si>
  <si>
    <t>Dibuat oleh :</t>
  </si>
  <si>
    <t>Disetujui oleh :</t>
  </si>
  <si>
    <t>soda api</t>
  </si>
  <si>
    <t>Cat kilat setra bee brand</t>
  </si>
  <si>
    <t>Cat perak setara bee brand</t>
  </si>
  <si>
    <t>Cat tembok setara paragon</t>
  </si>
  <si>
    <t>Box sekring 1 grroup</t>
  </si>
  <si>
    <t>Box sekring 2 grroup</t>
  </si>
  <si>
    <t>MCB 2 A</t>
  </si>
  <si>
    <t>MCB 4 A</t>
  </si>
  <si>
    <t>MCB 6 A</t>
  </si>
  <si>
    <t>MCB 8 A</t>
  </si>
  <si>
    <t>Box sekring 1 group</t>
  </si>
  <si>
    <t>Box sekring 2 group</t>
  </si>
  <si>
    <t>Box sekring 3 group</t>
  </si>
  <si>
    <t>Box sekring 4 group</t>
  </si>
  <si>
    <t>Kabel NYA 1,5 mm</t>
  </si>
  <si>
    <t>Kabel NYA 2,5 mm</t>
  </si>
  <si>
    <t>Kabel NYM 2x1,5 mm</t>
  </si>
  <si>
    <t>Kabel NYA 2x2,5 mm</t>
  </si>
  <si>
    <t>m'</t>
  </si>
  <si>
    <t>set</t>
  </si>
  <si>
    <t>unit</t>
  </si>
  <si>
    <t>bh</t>
  </si>
  <si>
    <t>m2</t>
  </si>
  <si>
    <t>6.57.1.</t>
  </si>
  <si>
    <t>6.57.2.</t>
  </si>
  <si>
    <t>Bahan Penutup Lantai</t>
  </si>
  <si>
    <t>Pintu Besi Lipat Harmonika</t>
  </si>
  <si>
    <t>Besi, Alumunium dan pintu</t>
  </si>
  <si>
    <t xml:space="preserve">Jerjak besi </t>
  </si>
  <si>
    <t>Triplek / plywood 4 mm</t>
  </si>
  <si>
    <t xml:space="preserve">Dempul </t>
  </si>
  <si>
    <t>Lampu Hemat SL 24 watt komplet</t>
  </si>
  <si>
    <t>Lampu Hemat SL 18 watt komplet</t>
  </si>
  <si>
    <t>Pembuangan air bak</t>
  </si>
  <si>
    <t>HARGA SATUAN  Rp.</t>
  </si>
  <si>
    <r>
      <t>/M</t>
    </r>
    <r>
      <rPr>
        <vertAlign val="superscript"/>
        <sz val="10"/>
        <rFont val="Malgun Gothic"/>
        <family val="2"/>
      </rPr>
      <t>2</t>
    </r>
  </si>
  <si>
    <r>
      <t>/M</t>
    </r>
    <r>
      <rPr>
        <vertAlign val="superscript"/>
        <sz val="10"/>
        <rFont val="Malgun Gothic"/>
        <family val="2"/>
      </rPr>
      <t>1</t>
    </r>
  </si>
  <si>
    <t>Kayu Dolken/bulat Ø 3" - 4"</t>
  </si>
  <si>
    <r>
      <t>M</t>
    </r>
    <r>
      <rPr>
        <sz val="11"/>
        <rFont val="Malgun Gothic"/>
        <family val="2"/>
      </rPr>
      <t>³</t>
    </r>
  </si>
  <si>
    <r>
      <t>M</t>
    </r>
    <r>
      <rPr>
        <sz val="11"/>
        <rFont val="Malgun Gothic"/>
        <family val="2"/>
      </rPr>
      <t>²</t>
    </r>
  </si>
  <si>
    <r>
      <t>M</t>
    </r>
    <r>
      <rPr>
        <vertAlign val="superscript"/>
        <sz val="11"/>
        <rFont val="Malgun Gothic"/>
        <family val="2"/>
      </rPr>
      <t>2</t>
    </r>
  </si>
  <si>
    <r>
      <t>M</t>
    </r>
    <r>
      <rPr>
        <vertAlign val="superscript"/>
        <sz val="11"/>
        <color theme="1"/>
        <rFont val="Malgun Gothic"/>
        <family val="2"/>
      </rPr>
      <t>1</t>
    </r>
  </si>
  <si>
    <r>
      <t>1 m</t>
    </r>
    <r>
      <rPr>
        <b/>
        <vertAlign val="superscript"/>
        <sz val="11"/>
        <color theme="1"/>
        <rFont val="Malgun Gothic"/>
        <family val="2"/>
      </rPr>
      <t>2</t>
    </r>
  </si>
  <si>
    <t>6.4</t>
  </si>
  <si>
    <t xml:space="preserve">1 m² </t>
  </si>
  <si>
    <t>Membersihkan lapangan dan perataan</t>
  </si>
  <si>
    <t>6.8</t>
  </si>
  <si>
    <t>6.1</t>
  </si>
  <si>
    <t>6.2</t>
  </si>
  <si>
    <t>6.9</t>
  </si>
  <si>
    <t>6.7</t>
  </si>
  <si>
    <t>6.3</t>
  </si>
  <si>
    <t xml:space="preserve">1 m²  </t>
  </si>
  <si>
    <t xml:space="preserve">Pasangan bata merah tebal 1/2 bata, 1Pc :  2 Pp </t>
  </si>
  <si>
    <t xml:space="preserve">Pasangan bata merah tebal 1/2 bata, 1Pc :  4 Pp </t>
  </si>
  <si>
    <t xml:space="preserve">1 M² </t>
  </si>
  <si>
    <t>Plesteran 1 Pc : 2 Pp, tebal 15 mm</t>
  </si>
  <si>
    <t>Plesteran 1 Pc : 3 Pp, tebal 15 mm</t>
  </si>
  <si>
    <t>Plesteran 1 Pc : 4 Pp, tebal 15 mm</t>
  </si>
  <si>
    <t xml:space="preserve">1 M³ </t>
  </si>
  <si>
    <t>Membuat beton mutu f'c = 7.4 Mpa (K 100), slump (12 ± 2) cm, w/c = 0.87 (1PC : 3,5PB : 4KR)</t>
  </si>
  <si>
    <t>Membuat beton mutu f'c = 14.5 Mpa (K 175), slump (12 ± 2) cm, w/c = 0.66 (1PC : 2,5PB : 3KR)</t>
  </si>
  <si>
    <t>Membuat beton mutu f'c = 19.3 Mpa (K 225), slump (12 ± 2) cm, w/c = 0.58 (1PC : 2PB : 3KR)</t>
  </si>
  <si>
    <t xml:space="preserve">1 M' </t>
  </si>
  <si>
    <t>Pasang lantai keramik ukuran 20 x 20 cm</t>
  </si>
  <si>
    <t>Pasang lantai keramik ukuran 60 x 60 cm</t>
  </si>
  <si>
    <t>Pasang lantai karpet</t>
  </si>
  <si>
    <t>Pasang dinding keramik uk. 20 x 25 cm</t>
  </si>
  <si>
    <t>Pasang langit - langit  gypsum board 1200 x 2400 x 9 mm</t>
  </si>
  <si>
    <t>Pasang list plafond gypsum profil</t>
  </si>
  <si>
    <t>Pasang dinding batu poros</t>
  </si>
  <si>
    <t xml:space="preserve">1M² </t>
  </si>
  <si>
    <t>Pengecatan bidang kayu baru 1 lps Plamir, 1 lps cat dasar, 2 lps cat minyak</t>
  </si>
  <si>
    <t>Pengecatan tembok baru ( 1 lapis plamir, 1 lapis cat dasar, 2 lapis cat penutup )</t>
  </si>
  <si>
    <r>
      <t>1 m</t>
    </r>
    <r>
      <rPr>
        <b/>
        <vertAlign val="superscript"/>
        <sz val="11"/>
        <color theme="1"/>
        <rFont val="Malgun Gothic"/>
        <family val="2"/>
      </rPr>
      <t xml:space="preserve">1 </t>
    </r>
  </si>
  <si>
    <t>Memasang kusen pintu alumunium</t>
  </si>
  <si>
    <t xml:space="preserve">1 buah </t>
  </si>
  <si>
    <t xml:space="preserve">Pasang engsel jendela </t>
  </si>
  <si>
    <t>1 buah</t>
  </si>
  <si>
    <t>6.11</t>
  </si>
  <si>
    <t>6.12</t>
  </si>
  <si>
    <t>6.15</t>
  </si>
  <si>
    <t>Pasang kaca, tebal 5 mm</t>
  </si>
  <si>
    <t>Pasang slot/grendel pintu double</t>
  </si>
  <si>
    <t>Pasang pegangan pintu / door holder</t>
  </si>
  <si>
    <t>Pasang kait angin</t>
  </si>
  <si>
    <t>Pasang engsel pintu tanam/floor hinge</t>
  </si>
  <si>
    <t>Pasang kunci silinder</t>
  </si>
  <si>
    <t>6.36</t>
  </si>
  <si>
    <t>6.43</t>
  </si>
  <si>
    <t xml:space="preserve">URAIAN </t>
  </si>
  <si>
    <t xml:space="preserve">HARGA SATUAN </t>
  </si>
  <si>
    <t>6.6</t>
  </si>
  <si>
    <t>6.18</t>
  </si>
  <si>
    <t>6.5</t>
  </si>
  <si>
    <t>6.17</t>
  </si>
  <si>
    <t>6.44</t>
  </si>
  <si>
    <t>6.54</t>
  </si>
  <si>
    <t>6.57</t>
  </si>
  <si>
    <t>6.20</t>
  </si>
  <si>
    <t>6.21</t>
  </si>
  <si>
    <t>6.22</t>
  </si>
  <si>
    <t>6.23</t>
  </si>
  <si>
    <t>6.24</t>
  </si>
  <si>
    <t>Semen Portland</t>
  </si>
  <si>
    <t>Semen Portland @ 40 Kg</t>
  </si>
  <si>
    <t>Pasir beton @ M3</t>
  </si>
  <si>
    <t>Kerikil beton @ M3</t>
  </si>
  <si>
    <t>Ubin Keramik 60 x 60 cm</t>
  </si>
  <si>
    <t>Ubin Keramik 20 x 20 cm</t>
  </si>
  <si>
    <t>Ubin Keramik 20 x 25 cm</t>
  </si>
  <si>
    <t>Ubin Keramik 20 x 25 CM</t>
  </si>
  <si>
    <t>Batu Alam Paras</t>
  </si>
  <si>
    <t>List Profil Gypsum</t>
  </si>
  <si>
    <t xml:space="preserve">Cat Menie Besi </t>
  </si>
  <si>
    <t>Cat Menie Kayu</t>
  </si>
  <si>
    <t>Profil Alumunium untuk Kusen</t>
  </si>
  <si>
    <t>TukanG</t>
  </si>
  <si>
    <r>
      <t>M</t>
    </r>
    <r>
      <rPr>
        <vertAlign val="superscript"/>
        <sz val="10"/>
        <color theme="1"/>
        <rFont val="Malgun Gothic"/>
        <family val="2"/>
      </rPr>
      <t>2</t>
    </r>
  </si>
  <si>
    <t>Gapoktan/Kelompok Tani</t>
  </si>
  <si>
    <t>Bata merah cetak mesin</t>
  </si>
  <si>
    <t>Batu Alam paras</t>
  </si>
  <si>
    <t>Semen PC @ 40 Kg</t>
  </si>
  <si>
    <t>Semen PC</t>
  </si>
  <si>
    <t>Triplek 9mm</t>
  </si>
  <si>
    <t>Dolken kayu galam Ø (8-10) cm, panjang 4 m</t>
  </si>
  <si>
    <t>Genteng metal BJLS 0,30</t>
  </si>
  <si>
    <t>Rabung  genteng metal #0,35</t>
  </si>
  <si>
    <t xml:space="preserve">Atap Spandek  </t>
  </si>
  <si>
    <t>Profil Gypsum</t>
  </si>
  <si>
    <t>Gipsum Board tebal 9 mm</t>
  </si>
  <si>
    <t>Keramik 20 x 20 cm</t>
  </si>
  <si>
    <t>Keramik  40x40 cm setara ezenza</t>
  </si>
  <si>
    <t>Keramik 60x60 cm</t>
  </si>
  <si>
    <t xml:space="preserve">Plamur </t>
  </si>
  <si>
    <t>Cat manie besi</t>
  </si>
  <si>
    <t>Cat manie kayu</t>
  </si>
  <si>
    <t>Cat tembok setara Vinilek</t>
  </si>
  <si>
    <t>Kunci Lock KCL Biasa 6'' ( antik )</t>
  </si>
  <si>
    <t>Kunci tanam 4''</t>
  </si>
  <si>
    <t>Engsel pintu 4''</t>
  </si>
  <si>
    <t>Engsel jendela / ventilasi 3''</t>
  </si>
  <si>
    <t>Bak air fiberglass</t>
  </si>
  <si>
    <t>Pipa PVC Ø 1/2"-</t>
  </si>
  <si>
    <t>Pipa PVC Ø 1"</t>
  </si>
  <si>
    <t xml:space="preserve">Profil Alumunium untuk Kusen </t>
  </si>
  <si>
    <t>Pengecatan bidang kayu lama</t>
  </si>
  <si>
    <t>Pengecatan tembok lama (1 lapis cat dasar, 2 lapis cat penutup )</t>
  </si>
  <si>
    <t>M2</t>
  </si>
  <si>
    <t>Pasang langit - langit  Triplek 120 x 240 cm Tebal 4 mm</t>
  </si>
  <si>
    <t xml:space="preserve">Pengecatan permukaan baja lapis seng </t>
  </si>
  <si>
    <t>6.1.2</t>
  </si>
  <si>
    <t>Menikis /Mengerok permukaan tembok lama</t>
  </si>
  <si>
    <t xml:space="preserve">Soda Api </t>
  </si>
  <si>
    <t>PK</t>
  </si>
  <si>
    <t>Paku Biasa</t>
  </si>
  <si>
    <t>6.5A</t>
  </si>
  <si>
    <t>Memasang daun pintu</t>
  </si>
  <si>
    <t>6.5A.1</t>
  </si>
  <si>
    <t>6.5A.2</t>
  </si>
  <si>
    <t>Memasang daun jendela kaca rangka Kayu</t>
  </si>
  <si>
    <t>6.21A</t>
  </si>
  <si>
    <t>6.21A.1</t>
  </si>
  <si>
    <t>6.21A.2</t>
  </si>
  <si>
    <r>
      <t>M</t>
    </r>
    <r>
      <rPr>
        <vertAlign val="superscript"/>
        <sz val="11"/>
        <color indexed="8"/>
        <rFont val="Malgun Gothic"/>
        <family val="2"/>
      </rPr>
      <t>1</t>
    </r>
  </si>
  <si>
    <r>
      <t>1 m</t>
    </r>
    <r>
      <rPr>
        <b/>
        <vertAlign val="superscript"/>
        <sz val="11"/>
        <color indexed="8"/>
        <rFont val="Malgun Gothic"/>
        <family val="2"/>
      </rPr>
      <t>2</t>
    </r>
  </si>
  <si>
    <r>
      <t>1 m</t>
    </r>
    <r>
      <rPr>
        <b/>
        <vertAlign val="superscript"/>
        <sz val="11"/>
        <color indexed="8"/>
        <rFont val="Malgun Gothic"/>
        <family val="2"/>
      </rPr>
      <t xml:space="preserve">3 </t>
    </r>
  </si>
  <si>
    <t xml:space="preserve">Pasang Lisplank uk.3 x 20 cm </t>
  </si>
  <si>
    <t xml:space="preserve">PEKERJAAN BETON </t>
  </si>
  <si>
    <t>a</t>
  </si>
  <si>
    <t>b</t>
  </si>
  <si>
    <t>c</t>
  </si>
  <si>
    <t xml:space="preserve">Baja Tulangan </t>
  </si>
  <si>
    <t>Beton Cor K -225</t>
  </si>
  <si>
    <t>KG</t>
  </si>
  <si>
    <t xml:space="preserve">1 Kg </t>
  </si>
  <si>
    <t xml:space="preserve">Besi Tulangan </t>
  </si>
  <si>
    <r>
      <t xml:space="preserve">Pasang </t>
    </r>
    <r>
      <rPr>
        <b/>
        <sz val="11"/>
        <rFont val="Malgun Gothic"/>
        <family val="2"/>
      </rPr>
      <t xml:space="preserve"> bekisting untuk kolom</t>
    </r>
  </si>
  <si>
    <t>1 M2</t>
  </si>
  <si>
    <r>
      <t xml:space="preserve">Pasang </t>
    </r>
    <r>
      <rPr>
        <b/>
        <sz val="11"/>
        <rFont val="Malgun Gothic"/>
        <family val="2"/>
      </rPr>
      <t xml:space="preserve"> bekisting untuk balok</t>
    </r>
  </si>
  <si>
    <t>Pekerjan Pasangan Dinding Bata 1PC : 4 Ps</t>
  </si>
  <si>
    <t>I</t>
  </si>
  <si>
    <t>Pekerjaan Galian Tanah</t>
  </si>
  <si>
    <t>X</t>
  </si>
  <si>
    <t>PANJANG</t>
  </si>
  <si>
    <t>Pasang  bekisting untuk pondasi</t>
  </si>
  <si>
    <t>Pasang bekisting untuk sloof</t>
  </si>
  <si>
    <t xml:space="preserve">1 M2 </t>
  </si>
  <si>
    <t>Pasang  bekisting untuk plat lantai</t>
  </si>
  <si>
    <t>Panjang</t>
  </si>
  <si>
    <t xml:space="preserve">PEKERJAAN DINDING </t>
  </si>
  <si>
    <t>Paku Seng</t>
  </si>
  <si>
    <t>Seng Gelombang 3" X 6" BJLS 35</t>
  </si>
  <si>
    <t>Seng Plat 3" X 6" BJLS 35</t>
  </si>
  <si>
    <t>6.2.1</t>
  </si>
  <si>
    <t>Memasang kusen pintu Kayu Klas II</t>
  </si>
  <si>
    <t>Besi Plat strip</t>
  </si>
  <si>
    <t>Unit</t>
  </si>
  <si>
    <t>Pintu PVC KM/WC</t>
  </si>
  <si>
    <t>Closed Jongkok</t>
  </si>
  <si>
    <t>Bak air fiberglass 0,3 M3</t>
  </si>
  <si>
    <t>Floor Drain Ø 2 inchi</t>
  </si>
  <si>
    <t>Sub Jumlah IX</t>
  </si>
  <si>
    <t>q</t>
  </si>
  <si>
    <t>INSTANSI</t>
  </si>
  <si>
    <t>A L A M A T</t>
  </si>
  <si>
    <t>MEDAN</t>
  </si>
  <si>
    <t>TELEPON</t>
  </si>
  <si>
    <t>(061) 7942837</t>
  </si>
  <si>
    <t>SUMBER DANA</t>
  </si>
  <si>
    <t>KABUPATEN</t>
  </si>
  <si>
    <t>KECAMATAN</t>
  </si>
  <si>
    <t>LOKASI</t>
  </si>
  <si>
    <t>NAMA PEKERJAAN</t>
  </si>
  <si>
    <t>DELI SERDANG</t>
  </si>
  <si>
    <t>+ PPN</t>
  </si>
  <si>
    <t>PPN</t>
  </si>
  <si>
    <t>LANGKAT</t>
  </si>
  <si>
    <t>SIMALUNGUN</t>
  </si>
  <si>
    <t>m3</t>
  </si>
  <si>
    <t>Pekerjan Pasangan Dinding Bata 1PC : 2 Ps (transram)</t>
  </si>
  <si>
    <t>Pasang Rangka Atap Baja Ringan</t>
  </si>
  <si>
    <t>Anls Hitung 1</t>
  </si>
  <si>
    <t>Truss C 75. t = 0,75 mm</t>
  </si>
  <si>
    <t>Reng U 121,5/35 t 0,5 mm</t>
  </si>
  <si>
    <t>Dinabolt 12x199 mm</t>
  </si>
  <si>
    <t xml:space="preserve">Baut Hexagon </t>
  </si>
  <si>
    <t>6.32.1</t>
  </si>
  <si>
    <t>6.32.2</t>
  </si>
  <si>
    <t>Pasang RabungSeng</t>
  </si>
  <si>
    <t xml:space="preserve">Rabung BJLS </t>
  </si>
  <si>
    <t>Anls Hit 2</t>
  </si>
  <si>
    <t>Baut hexagon 12x50 mm</t>
  </si>
  <si>
    <t>Truss C 75, t=0,75 mm</t>
  </si>
  <si>
    <t>Reng U.121.5/35 t= 0,5 mm</t>
  </si>
  <si>
    <t>Rabung Bjls</t>
  </si>
  <si>
    <t>Rabung seng</t>
  </si>
  <si>
    <t>PPA.32</t>
  </si>
  <si>
    <t>PPA,636</t>
  </si>
  <si>
    <t>Anls.Hitung</t>
  </si>
  <si>
    <t>PEKERJAAN  PINTU DAN JENDELA</t>
  </si>
  <si>
    <t xml:space="preserve">Pekerjaan Plesteran Dinding 1PC : 4 Ps </t>
  </si>
  <si>
    <t>PL6.2</t>
  </si>
  <si>
    <t>Plesteran 1:4 tebal 10 mm</t>
  </si>
  <si>
    <t>PL.6.2.1</t>
  </si>
  <si>
    <t>PL.6.2.2</t>
  </si>
  <si>
    <t>Membuat beton mutu f'c = 7,4 Mpa (K 225), slump (12 ± 2) cm, w/c = 0.87 (1PC : 3,5PB : 4KR)</t>
  </si>
  <si>
    <t xml:space="preserve">6.1.1. </t>
  </si>
  <si>
    <t>PB 6,1</t>
  </si>
  <si>
    <t>Konsultan Perencana</t>
  </si>
  <si>
    <t>Urugan Sirtu</t>
  </si>
  <si>
    <t>Pekerjaan Pas. Pondasi Batu Belah Camp 1 Pc : 4 Ps</t>
  </si>
  <si>
    <t>Titik</t>
  </si>
  <si>
    <t>Pekerjaan Cat Tembok</t>
  </si>
  <si>
    <t>PC.6.14</t>
  </si>
  <si>
    <t>IX</t>
  </si>
  <si>
    <t>Bekesting Pondasi</t>
  </si>
  <si>
    <t>Bekesting Sloof</t>
  </si>
  <si>
    <t>Bekesting Kolom</t>
  </si>
  <si>
    <t xml:space="preserve">Bekesting Ring balok </t>
  </si>
  <si>
    <t xml:space="preserve">Pasang Atap </t>
  </si>
  <si>
    <t>Ir. Jonni Akim Purba</t>
  </si>
  <si>
    <t>CV. SPORTIF CITRA MANDIRI</t>
  </si>
  <si>
    <t>Uraian</t>
  </si>
  <si>
    <t>Kode</t>
  </si>
  <si>
    <t>Satuan</t>
  </si>
  <si>
    <t>Koefisien</t>
  </si>
  <si>
    <t>Harga Satuan (Rp)</t>
  </si>
  <si>
    <t>Jumlah Harga (Rp)</t>
  </si>
  <si>
    <t>A</t>
  </si>
  <si>
    <t>L.01</t>
  </si>
  <si>
    <t>L.04</t>
  </si>
  <si>
    <t>Jumlah Tenaga Kerja</t>
  </si>
  <si>
    <t>C</t>
  </si>
  <si>
    <t>Peralatan</t>
  </si>
  <si>
    <t>Jumlah Peralatan</t>
  </si>
  <si>
    <t>Jumlah Bahan</t>
  </si>
  <si>
    <t>D</t>
  </si>
  <si>
    <t>Jumlah (A+B+C)</t>
  </si>
  <si>
    <t>E</t>
  </si>
  <si>
    <t>F</t>
  </si>
  <si>
    <t>Overhead &amp; Profit ( 15%)</t>
  </si>
  <si>
    <t xml:space="preserve">Harga Satuan Pekerjaan </t>
  </si>
  <si>
    <t xml:space="preserve">A. 2.3.1.9 </t>
  </si>
  <si>
    <t>Pengurugan Kembali 1 m3 Galian Tanah</t>
  </si>
  <si>
    <t>A. 2.3.1.4</t>
  </si>
  <si>
    <t>Penggalian 1 m3 tanah sedalam 1 m</t>
  </si>
  <si>
    <t>A. 2.3.1.11</t>
  </si>
  <si>
    <t>Pengurugan 1 m3 dengan pasir urug</t>
  </si>
  <si>
    <t>Pasir Urug</t>
  </si>
  <si>
    <t>A. 2.3.1.14</t>
  </si>
  <si>
    <t>Pengurugan 1 m3 sirtu</t>
  </si>
  <si>
    <t>A.3.2.1.2.</t>
  </si>
  <si>
    <t>Pemasangan 1 m3 pondasi batu belah campuran 1SP : 4PP</t>
  </si>
  <si>
    <t>L.02</t>
  </si>
  <si>
    <t>L.03</t>
  </si>
  <si>
    <t>Batu belah</t>
  </si>
  <si>
    <t>A.3.2.1.9.</t>
  </si>
  <si>
    <t>Pemasangan 1 m3 batu kosong</t>
  </si>
  <si>
    <t>A.4.4.1.7.</t>
  </si>
  <si>
    <t>Pemasangan 1 m2 dinding bata merah tebal 1/2 batu campuran 1SP : 2 SP</t>
  </si>
  <si>
    <t>Bata Merah</t>
  </si>
  <si>
    <t>buah</t>
  </si>
  <si>
    <t>Pemasangan 1 m2 dinding bata merah tebal 1/2 batu campuran 1SP : 4 SP</t>
  </si>
  <si>
    <t>A.4.4.1.9.</t>
  </si>
  <si>
    <t>Liter</t>
  </si>
  <si>
    <t>Kerikil</t>
  </si>
  <si>
    <t>A.A.4.1.1.4.</t>
  </si>
  <si>
    <t>Tukang las</t>
  </si>
  <si>
    <t>Besi</t>
  </si>
  <si>
    <t>Tukang kayu</t>
  </si>
  <si>
    <t>Kaso 5/7 cm</t>
  </si>
  <si>
    <t>Paku</t>
  </si>
  <si>
    <t>Minyak Bekisting</t>
  </si>
  <si>
    <t>Kaso 5/7</t>
  </si>
  <si>
    <t>Kayu Balok</t>
  </si>
  <si>
    <t xml:space="preserve"> Span deck </t>
  </si>
  <si>
    <t>Span deck</t>
  </si>
  <si>
    <t>A.4.4.2.15.</t>
  </si>
  <si>
    <t>PPA.636.</t>
  </si>
  <si>
    <t>Pemasangan 1 m' Rabung Seng</t>
  </si>
  <si>
    <t>Anls. Hitung</t>
  </si>
  <si>
    <t>Pemasangan 1 m2 rangka atap baja ringan</t>
  </si>
  <si>
    <t>Truss C75, t = 0,75 mm</t>
  </si>
  <si>
    <t>Reng U 121, 5/35 t 0,5 mm</t>
  </si>
  <si>
    <t>Baut Hexagon</t>
  </si>
  <si>
    <t>A.4.7.1.1.</t>
  </si>
  <si>
    <t>1 m2 Pengikisan/pengerokan permukaan cat lama</t>
  </si>
  <si>
    <t>Soda api</t>
  </si>
  <si>
    <t>A.4.7.1.10.</t>
  </si>
  <si>
    <t>Tukang Cat</t>
  </si>
  <si>
    <t>Plamuur</t>
  </si>
  <si>
    <t>Cat Dasar</t>
  </si>
  <si>
    <t>Cat Penutup</t>
  </si>
  <si>
    <t>Cat tembok</t>
  </si>
  <si>
    <t>A. 2.2.1.4.</t>
  </si>
  <si>
    <t xml:space="preserve">Paku </t>
  </si>
  <si>
    <t>Kayu papan</t>
  </si>
  <si>
    <t>B.17.b</t>
  </si>
  <si>
    <t>Kawat</t>
  </si>
  <si>
    <t>Harga Satuan Pekerjaan  per - 100 kg</t>
  </si>
  <si>
    <t>B.07.a</t>
  </si>
  <si>
    <t>P.04.f</t>
  </si>
  <si>
    <t>A.4.5.2.39.</t>
  </si>
  <si>
    <t>Pemasangan 1 m2 atap span deck</t>
  </si>
  <si>
    <t>B.24.c</t>
  </si>
  <si>
    <t>G</t>
  </si>
  <si>
    <t>Diketahui Oleh :</t>
  </si>
  <si>
    <t>Dinas Tanaman Pangan dan Hortikultura</t>
  </si>
  <si>
    <t>Provinsi Sumatera Utara</t>
  </si>
  <si>
    <t>Team Leader</t>
  </si>
  <si>
    <t>NIP. 19690601.199402.1.002</t>
  </si>
  <si>
    <t xml:space="preserve">Instalasi Listrik + assesories  ( Hanya instalasi ) </t>
  </si>
  <si>
    <t>B.26.b</t>
  </si>
  <si>
    <t>Kaso 5/7cm</t>
  </si>
  <si>
    <t>A.4.6.2.14</t>
  </si>
  <si>
    <t>Pemasangan 1 buah rel pintu utama</t>
  </si>
  <si>
    <t>Pintu Utama</t>
  </si>
  <si>
    <t>Pembuatan dan Pemasangan 1 m3 pintu sederhana kayu kelas III</t>
  </si>
  <si>
    <t>Papan kayu</t>
  </si>
  <si>
    <t>Pembuatan dan Pemasangan 1 m3 kusen  pintu dan kusen jendela kayu kelas III</t>
  </si>
  <si>
    <t>A.4.6.1.4</t>
  </si>
  <si>
    <t>A.4.6.1.2</t>
  </si>
  <si>
    <t>Lem kayu</t>
  </si>
  <si>
    <t>A.5.1.1.2</t>
  </si>
  <si>
    <t>Pemasangan 1 buah closet jongkok porselen</t>
  </si>
  <si>
    <t>Sement Portland</t>
  </si>
  <si>
    <t>A.5.1.1.14</t>
  </si>
  <si>
    <t>Pemasangan 1 buah floor drain</t>
  </si>
  <si>
    <t>PEKERJAAN BETON BERTULANG</t>
  </si>
  <si>
    <t>DIMENSI BETON</t>
  </si>
  <si>
    <t>BESI</t>
  </si>
  <si>
    <t>Total Berat</t>
  </si>
  <si>
    <t>NO</t>
  </si>
  <si>
    <t>LEBAR</t>
  </si>
  <si>
    <t>TEBAL</t>
  </si>
  <si>
    <t>LUAS</t>
  </si>
  <si>
    <t>vol beton</t>
  </si>
  <si>
    <t>POKOK</t>
  </si>
  <si>
    <t>BEUGEL</t>
  </si>
  <si>
    <t>( m )</t>
  </si>
  <si>
    <t>(M2)</t>
  </si>
  <si>
    <t>m</t>
  </si>
  <si>
    <t>(m)</t>
  </si>
  <si>
    <t>Ø</t>
  </si>
  <si>
    <t>Jml</t>
  </si>
  <si>
    <t>h</t>
  </si>
  <si>
    <t>kuku</t>
  </si>
  <si>
    <t>jarak</t>
  </si>
  <si>
    <t>Jml bgl</t>
  </si>
  <si>
    <t>Pokok</t>
  </si>
  <si>
    <t>KOLOM</t>
  </si>
  <si>
    <t>SLOOF</t>
  </si>
  <si>
    <t>V</t>
  </si>
  <si>
    <t>BALOK</t>
  </si>
  <si>
    <t>BACK UP BETON</t>
  </si>
  <si>
    <t>BEKISTING</t>
  </si>
  <si>
    <t>SISI BEKISTING</t>
  </si>
  <si>
    <t>Total Bekisting (2xPakai)</t>
  </si>
  <si>
    <t>pjg</t>
  </si>
  <si>
    <t>FORMULA</t>
  </si>
  <si>
    <t xml:space="preserve">PERHITUNGAN </t>
  </si>
  <si>
    <t>Vol / Unit</t>
  </si>
  <si>
    <t>Stn</t>
  </si>
  <si>
    <t>Papan Nama Proyek</t>
  </si>
  <si>
    <t>II</t>
  </si>
  <si>
    <t>+</t>
  </si>
  <si>
    <t>-</t>
  </si>
  <si>
    <t>Mengurug 1 m3 pasir urug</t>
  </si>
  <si>
    <t>P x L x T</t>
  </si>
  <si>
    <t>P. Menerus</t>
  </si>
  <si>
    <t>P x L x TxJLH</t>
  </si>
  <si>
    <t>P. Tapak</t>
  </si>
  <si>
    <t xml:space="preserve"> P x L x T</t>
  </si>
  <si>
    <t>III</t>
  </si>
  <si>
    <t>Membuat 1 m3 kolom &amp; Pondasi beton bertulang (200 kg besi + bekisting)</t>
  </si>
  <si>
    <t xml:space="preserve">L penampang x T x jlh </t>
  </si>
  <si>
    <t>Kolom</t>
  </si>
  <si>
    <t>Kolom praktis km</t>
  </si>
  <si>
    <t>Kolom praktis kantor</t>
  </si>
  <si>
    <t>Pondasi Tapak</t>
  </si>
  <si>
    <t>Membuat 1 m3 Sloof beton bertulang (200 kg besi + bekisting)</t>
  </si>
  <si>
    <t>IV</t>
  </si>
  <si>
    <t xml:space="preserve">P x T - L. Pintu </t>
  </si>
  <si>
    <t>Trasraam</t>
  </si>
  <si>
    <t>dup</t>
  </si>
  <si>
    <t>Dinding  All</t>
  </si>
  <si>
    <t xml:space="preserve">PEKERJAAN PENGECATAN </t>
  </si>
  <si>
    <t>sisa dup</t>
  </si>
  <si>
    <t>Luas Plasteran</t>
  </si>
  <si>
    <t>Dinding</t>
  </si>
  <si>
    <t>VI</t>
  </si>
  <si>
    <t>P x L - L. Pintu + L.Jendelax2</t>
  </si>
  <si>
    <t>T x L x Jumlah</t>
  </si>
  <si>
    <t>Kantor</t>
  </si>
  <si>
    <t>Kunci Tanam double lock biasa</t>
  </si>
  <si>
    <t>Engsel 4"</t>
  </si>
  <si>
    <t>P x L x Jumlah</t>
  </si>
  <si>
    <t>Induk</t>
  </si>
  <si>
    <t>Kanopi</t>
  </si>
  <si>
    <t>VII</t>
  </si>
  <si>
    <t>m1</t>
  </si>
  <si>
    <t>P</t>
  </si>
  <si>
    <t>VIII</t>
  </si>
  <si>
    <t>Jlh</t>
  </si>
  <si>
    <t>P x L</t>
  </si>
  <si>
    <t>XI</t>
  </si>
  <si>
    <t xml:space="preserve">Pembersihan Akhir </t>
  </si>
  <si>
    <t>Plat Besi Baja Hitam 4 mm x 4? x 8?</t>
  </si>
  <si>
    <t> Rp                                  653,100</t>
  </si>
  <si>
    <t>APBN-P TAHUN ANGGARAN 2019</t>
  </si>
  <si>
    <t>Mengurug 1 m3 tanah timbun</t>
  </si>
  <si>
    <t xml:space="preserve">PEKERJAAN PONDASI </t>
  </si>
  <si>
    <t>A.4.4.2.15.A</t>
  </si>
  <si>
    <t>Pekerjaan Plesteran Dinding 1PC : 2 Ps  (transram)</t>
  </si>
  <si>
    <t>m²</t>
  </si>
  <si>
    <t>L008.a</t>
  </si>
  <si>
    <t>Memasang 1 m2 penutup atap Zincalume</t>
  </si>
  <si>
    <t>Atap Zincalume</t>
  </si>
  <si>
    <t>Tenaga kerja</t>
  </si>
  <si>
    <t>L017.a</t>
  </si>
  <si>
    <t>Memasang 1 m' bubungan Zincalume</t>
  </si>
  <si>
    <t>Bubungan Zincalume</t>
  </si>
  <si>
    <t>Nok Atas Zincalume</t>
  </si>
  <si>
    <t>Paku Kait Lengkap</t>
  </si>
  <si>
    <t>Jumlah (A+B)</t>
  </si>
  <si>
    <t>Membuat 1 m3 lantai kerja 1PC : 3 PS : 5 KR</t>
  </si>
  <si>
    <t>Membuat 1 m3 beton mutu f’c = 7,4 MPa (K 100), slump (12 ± 2) cm, w/c = 0,87</t>
  </si>
  <si>
    <t>kg</t>
  </si>
  <si>
    <t>m³</t>
  </si>
  <si>
    <t>Split Pecah mesin 2/3</t>
  </si>
  <si>
    <t xml:space="preserve">Semen PC </t>
  </si>
  <si>
    <t>Besi Baja UNP 5 (50x 38x 5 mm) - 6m</t>
  </si>
  <si>
    <t>Kawat las</t>
  </si>
  <si>
    <t>Besi Baja UNP 5 (50x 38x 5 mm) - 6 m</t>
  </si>
  <si>
    <t>Kawat Las</t>
  </si>
  <si>
    <t>K022</t>
  </si>
  <si>
    <t>Memasang 1 m1 lisplank Kalsi uk. 6 mm x 20 cm</t>
  </si>
  <si>
    <t>GRC 6 mm</t>
  </si>
  <si>
    <t>Paku berbagai ukuran (1 - 3 cm)</t>
  </si>
  <si>
    <t>M1</t>
  </si>
  <si>
    <t>A.4.6.1.4A</t>
  </si>
  <si>
    <t>ANALISA DIHITUNG</t>
  </si>
  <si>
    <t>Dihitung</t>
  </si>
  <si>
    <t>1 Set Perlengkapan K3</t>
  </si>
  <si>
    <t>Helm</t>
  </si>
  <si>
    <t>Sepatu</t>
  </si>
  <si>
    <t>Rompi</t>
  </si>
  <si>
    <t>Belt</t>
  </si>
  <si>
    <t>Sarung Tangan</t>
  </si>
  <si>
    <t>Kaca Mata</t>
  </si>
  <si>
    <t>Jumlah (A)</t>
  </si>
  <si>
    <t>Overhead &amp; Profit 10%</t>
  </si>
  <si>
    <t>Harga Satuan Pekerjaan</t>
  </si>
  <si>
    <r>
      <t>1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Plesteran waterproof Sika Mortar 3 lapis</t>
    </r>
  </si>
  <si>
    <t>Sika Mortar</t>
  </si>
  <si>
    <t>Jumlah (B)</t>
  </si>
  <si>
    <t>Jumlah (A) + Jumlah (B)</t>
  </si>
  <si>
    <t xml:space="preserve">Overhead &amp; Profit </t>
  </si>
  <si>
    <t xml:space="preserve">Memasang 1 m2 Pintu Lipat Harmonika </t>
  </si>
  <si>
    <t>Pintu Lipat Harmonika</t>
  </si>
  <si>
    <t>Tukang besi</t>
  </si>
  <si>
    <t>PBA. 6.11</t>
  </si>
  <si>
    <t>Memasang 1 m2 Pintu Besi Baja</t>
  </si>
  <si>
    <t>Pintu Besi Baja</t>
  </si>
  <si>
    <t>A.4.4.3.28.b</t>
  </si>
  <si>
    <t>Pemasangan 1 m' Anti slip Tangga 10 cm x 60 cm</t>
  </si>
  <si>
    <t>TENAGA</t>
  </si>
  <si>
    <t>Tukang  Batu</t>
  </si>
  <si>
    <t xml:space="preserve">Kepala Tukang </t>
  </si>
  <si>
    <t>Anti Slip Tangga 10x60cm</t>
  </si>
  <si>
    <t>A.4.5.1.7.b</t>
  </si>
  <si>
    <t>Pemasangan 1 m² Plafond PVC Lengkap</t>
  </si>
  <si>
    <t>Tukang  Kayu</t>
  </si>
  <si>
    <t>Plafond PVC + Kelengkapan</t>
  </si>
  <si>
    <t>A.4.7.1.10.a</t>
  </si>
  <si>
    <t>Pengecatan 1 m²  tembok baru exterior (1 Plamuur, 1 lapis cat dasar , 2 lapis cat penutup)</t>
  </si>
  <si>
    <t>Tukang cat</t>
  </si>
  <si>
    <t>Cat Dasar Stara Jotun</t>
  </si>
  <si>
    <t>Cat Penutup Stara Jotun</t>
  </si>
  <si>
    <t>A.4.4.3.54.c</t>
  </si>
  <si>
    <t>Pemasangan 1 m² dinding Keramik  30 cm x 30 cm</t>
  </si>
  <si>
    <t>Keramik 30x30cm</t>
  </si>
  <si>
    <t>Semen Warna</t>
  </si>
  <si>
    <t>A.4.4.3.54.d</t>
  </si>
  <si>
    <t>Pemasangan 1 m² dinding Granite 60 cm x 60 cm</t>
  </si>
  <si>
    <t>Keramik 60x60cm</t>
  </si>
  <si>
    <t>PPL. 6.13 A</t>
  </si>
  <si>
    <t>Memasang 1 m2 Conblock #6 cm</t>
  </si>
  <si>
    <t>Conblock # 6 cm</t>
  </si>
  <si>
    <t>PPL. 6.13 C</t>
  </si>
  <si>
    <t xml:space="preserve">Memasang 1 m2 Grass Block </t>
  </si>
  <si>
    <t>PPL. 6.18</t>
  </si>
  <si>
    <t>Memasang 1 m2 Aluminium Composite Panel (ACP)</t>
  </si>
  <si>
    <t>Upah Borongan</t>
  </si>
  <si>
    <t>Alat Bantu</t>
  </si>
  <si>
    <t>Frame Aluminium Hollow</t>
  </si>
  <si>
    <t>Besi siku 40x40</t>
  </si>
  <si>
    <t>ACP</t>
  </si>
  <si>
    <t>Dinabolt</t>
  </si>
  <si>
    <t>Seallent</t>
  </si>
  <si>
    <t>Pemasangan 1 m² rangka Baja Ringan, modul 60 x 60 cm, dinding partisi</t>
  </si>
  <si>
    <t>Tukang  besi</t>
  </si>
  <si>
    <t>JUMLAH TENAGA KERJA</t>
  </si>
  <si>
    <t>Besi C100-100 mm</t>
  </si>
  <si>
    <t>Gypsum Board 9mm</t>
  </si>
  <si>
    <t>JUMLAH HARGA BAHAN</t>
  </si>
  <si>
    <t>PERALATAN</t>
  </si>
  <si>
    <t>JUMLAH HARGA ALAT</t>
  </si>
  <si>
    <t>Harga Satuan Pekerjaan (D+E)</t>
  </si>
  <si>
    <t>PBA. 6.13</t>
  </si>
  <si>
    <t>Memasang 1 m2 Pintu Aluminium</t>
  </si>
  <si>
    <t>Pintu Aluminium</t>
  </si>
  <si>
    <t>A.4.2.1.5.a</t>
  </si>
  <si>
    <t>1 M' Pengelasan dengan las listrik</t>
  </si>
  <si>
    <t>Solar</t>
  </si>
  <si>
    <t>Minyak Pelumas</t>
  </si>
  <si>
    <t>Alat</t>
  </si>
  <si>
    <t>Sewa Alat</t>
  </si>
  <si>
    <t>Jam</t>
  </si>
  <si>
    <t>Harga Satuan Pekerjaan 1m'</t>
  </si>
  <si>
    <t>Pemasangan 1 m' pipa besi 2"</t>
  </si>
  <si>
    <t>Tukang Batu</t>
  </si>
  <si>
    <t>pipa besi 2"</t>
  </si>
  <si>
    <t>Pemasangan 1 m' pipa besi 2.5"</t>
  </si>
  <si>
    <t>pipa besi 2,5"</t>
  </si>
  <si>
    <t>pelat landas 6 mm</t>
  </si>
  <si>
    <t xml:space="preserve">Tukang batu </t>
  </si>
  <si>
    <t xml:space="preserve">Jumlah         </t>
  </si>
  <si>
    <t>PC (40 kg)</t>
  </si>
  <si>
    <t xml:space="preserve">Memasang 1 m2 rangka atap canopy bahan besi hollow </t>
  </si>
  <si>
    <t>Tukang Besi</t>
  </si>
  <si>
    <t xml:space="preserve">Rangka Hollow </t>
  </si>
  <si>
    <t xml:space="preserve">Cat Besi </t>
  </si>
  <si>
    <t xml:space="preserve">Accesoires Sambungan </t>
  </si>
  <si>
    <t>Memasang 1 Titik Instalasi Penerangan</t>
  </si>
  <si>
    <t>Tukang Listrik</t>
  </si>
  <si>
    <t>Kabel NYM 3x2,5 mm2</t>
  </si>
  <si>
    <t>Pipa konduit uPVC 20 mm</t>
  </si>
  <si>
    <t>Fitting, kotak sambung, klem &amp; alat bantu lainnya</t>
  </si>
  <si>
    <t>Memasang 1 Bh Stop Kontak, 3 Phase, 10 A, 250 VAC</t>
  </si>
  <si>
    <t>Stop Kontak, 3 Phase, 10 A, 250 VAC</t>
  </si>
  <si>
    <t>Kotak sambung &amp; alat bantu lainnya</t>
  </si>
  <si>
    <t>ls</t>
  </si>
  <si>
    <t>Memasang 1 Bh Lampu SL 18 Watt</t>
  </si>
  <si>
    <t>Lampu Pijar 18 w</t>
  </si>
  <si>
    <t>Memasang 1 Bh Lampu T4 36 W</t>
  </si>
  <si>
    <t>/bh</t>
  </si>
  <si>
    <t>P 004</t>
  </si>
  <si>
    <t xml:space="preserve">Stop Kontak Broko Standard </t>
  </si>
  <si>
    <t>Kabel NYA 3x2,5 mm</t>
  </si>
  <si>
    <t>Lampu Hemat SL 36 watt komplet</t>
  </si>
  <si>
    <t>Lampu T4 36 W</t>
  </si>
  <si>
    <t>A.4.2.1.11</t>
  </si>
  <si>
    <t>Buah</t>
  </si>
  <si>
    <t>Span deck t 0,35 mm</t>
  </si>
  <si>
    <t>/Tube</t>
  </si>
  <si>
    <t>O 002a</t>
  </si>
  <si>
    <t>Memasang 1 buah Bak KM fiber 45 x 45</t>
  </si>
  <si>
    <t>Bak KM Fiber 45 x 45</t>
  </si>
  <si>
    <t xml:space="preserve">Tukang </t>
  </si>
  <si>
    <t>Perlengkapan (dari harga pipa)</t>
  </si>
  <si>
    <t>%</t>
  </si>
  <si>
    <t xml:space="preserve"> PVC tipe AW ø 3"</t>
  </si>
  <si>
    <t>Memasang 1 m'  PVC tipe AW ø 3"</t>
  </si>
  <si>
    <t>O 016.a</t>
  </si>
  <si>
    <t>O 013</t>
  </si>
  <si>
    <t>Memasang 1 m'  PVC tipe AW ø 3/4"</t>
  </si>
  <si>
    <t xml:space="preserve"> PVC tipe AW ø 3/4"</t>
  </si>
  <si>
    <t>Membuat Septitank 1.5x2.0 m</t>
  </si>
  <si>
    <t>Bak KM Fiber Sudut Besar</t>
  </si>
  <si>
    <t>Memasang 1 buah Bak KM fiber Sudut Besar</t>
  </si>
  <si>
    <t>O 018</t>
  </si>
  <si>
    <t>Memasang 1 bh kran air ø 1/2"</t>
  </si>
  <si>
    <t>Kran air ø 1/2"</t>
  </si>
  <si>
    <t>Sealtape</t>
  </si>
  <si>
    <t>Memasang MCB Box 2 group + MCB 1P 24 2 bh</t>
  </si>
  <si>
    <t>MCB 1P 4A</t>
  </si>
  <si>
    <t>MCB Box 2 group</t>
  </si>
  <si>
    <r>
      <t>M</t>
    </r>
    <r>
      <rPr>
        <vertAlign val="superscript"/>
        <sz val="10"/>
        <color theme="1"/>
        <rFont val="Malgun Gothic"/>
        <family val="2"/>
      </rPr>
      <t>3</t>
    </r>
  </si>
  <si>
    <t>Tripleks tebal 12 mm</t>
  </si>
  <si>
    <t>Tripleks 12 mm</t>
  </si>
  <si>
    <t>1 m2 Bekisting kolom beton biasa menggunakan tripleks 12 mm</t>
  </si>
  <si>
    <t>1 m 2 Pasang bekisting untuk pondasi tripleks 12 mm</t>
  </si>
  <si>
    <t>Pengukuran dan pemasangan 1 m' bouwplank/4 x</t>
  </si>
  <si>
    <t>Harga Satuan Pekerjaan Untuk 6 x pakai</t>
  </si>
  <si>
    <t xml:space="preserve">Besi plat baja 1.50 mm </t>
  </si>
  <si>
    <t>DESA NAGORI MARJANDI</t>
  </si>
  <si>
    <t>PANOMBEIAN PANEI</t>
  </si>
  <si>
    <t>POKTAN JAYA</t>
  </si>
  <si>
    <t>CV. KARYA VITALOKA KONSULTAN</t>
  </si>
  <si>
    <t>Gagah Ashadi, ST</t>
  </si>
  <si>
    <t>Ahmad Rizal, ST</t>
  </si>
  <si>
    <t>Direktur</t>
  </si>
  <si>
    <t>PENGADAAN RUMAH KOMPOS</t>
  </si>
  <si>
    <t>Medan,                2019</t>
  </si>
  <si>
    <t>KUASA PENGGUNA ANGGARAN</t>
  </si>
  <si>
    <t>DINAS TANAMAN PANGAN DAN HORTIKULTURA PROVINSI SUMATERA UTARA</t>
  </si>
  <si>
    <t>DAFTAR HARGA SATUAN UPAH/BAHAN 2019</t>
  </si>
  <si>
    <t>KABUPATEN DAIRI</t>
  </si>
  <si>
    <t>JENIS TENAGA KERJA</t>
  </si>
  <si>
    <t>SAT</t>
  </si>
  <si>
    <t>HARGA SATUAN</t>
  </si>
  <si>
    <t>( Rp)</t>
  </si>
  <si>
    <t xml:space="preserve"> 1 Orang / hr / 8 Jam</t>
  </si>
  <si>
    <t>BAHAN BANGUNAN GEDUNG</t>
  </si>
  <si>
    <t xml:space="preserve">Bahan-bahan Galian, Semen </t>
  </si>
  <si>
    <t>SEMEN</t>
  </si>
  <si>
    <t>Semen portland @ 40 Kg</t>
  </si>
  <si>
    <t>Zaak</t>
  </si>
  <si>
    <t>Semen portland @ 1 Kg</t>
  </si>
  <si>
    <t>TANAH/PASIR/BATU/KERIKIL</t>
  </si>
  <si>
    <t>Pasir Beton / Abu batu tersaring</t>
  </si>
  <si>
    <t xml:space="preserve"> M3</t>
  </si>
  <si>
    <t>Pasir Pasangan / Pasir beton</t>
  </si>
  <si>
    <t>Pasir Urug/Sirtu</t>
  </si>
  <si>
    <t>Sirtu Kerikil Batu Gunung</t>
  </si>
  <si>
    <t>Tanah timbun pilihan</t>
  </si>
  <si>
    <t>Tanah Timbunan Biasa</t>
  </si>
  <si>
    <t>Batu Belah 10 - 15 cm</t>
  </si>
  <si>
    <t>Batu Belah  5 - 7  cm</t>
  </si>
  <si>
    <t xml:space="preserve">Batu cadas/ batu belah </t>
  </si>
  <si>
    <t>Batu Gunung/Kasar</t>
  </si>
  <si>
    <t>PAKU</t>
  </si>
  <si>
    <t>Dina Bolt dia 10 mm</t>
  </si>
  <si>
    <t>Paku Beton ukuran 2" @ 100 biji</t>
  </si>
  <si>
    <t>Kotak</t>
  </si>
  <si>
    <t>Paku Beton ukuran 3" @100 biji</t>
  </si>
  <si>
    <t>Paku Jembatan / Baut Kodok</t>
  </si>
  <si>
    <t>Paku Seng RRT</t>
  </si>
  <si>
    <t>Paku ukuran 2" s/d 4"</t>
  </si>
  <si>
    <t>PLYWOOD</t>
  </si>
  <si>
    <t>Plywood/ triplek tebal 12 mm</t>
  </si>
  <si>
    <t>Lembar</t>
  </si>
  <si>
    <t>Plywood/ triplek tebal 3 mm</t>
  </si>
  <si>
    <t>Plywood/ triplek tebal 4 mm</t>
  </si>
  <si>
    <t>Plywood/ triplek tebal 6 mm</t>
  </si>
  <si>
    <t>Plywood/ triplek tebal 9 mm</t>
  </si>
  <si>
    <t>KAYU</t>
  </si>
  <si>
    <t>Kayu api</t>
  </si>
  <si>
    <t>Kayu damar laut</t>
  </si>
  <si>
    <t>Kayu kapur</t>
  </si>
  <si>
    <t>Kayu meranti</t>
  </si>
  <si>
    <t>Kayu Perancah Begesting/Sembarang keras</t>
  </si>
  <si>
    <t>Besi Beton</t>
  </si>
  <si>
    <t>Besi wiremesh</t>
  </si>
  <si>
    <t>Seng gelombang BJLS 0,35 (11 jalur)</t>
  </si>
  <si>
    <t>Kaki</t>
  </si>
  <si>
    <t>Seng Plastik ukuran 6 kaki</t>
  </si>
  <si>
    <t>Seng plat BJLS 30 ukuran 8 kaki</t>
  </si>
  <si>
    <t>Seng plat BJLS 35 ukuran 8 kaki</t>
  </si>
  <si>
    <t>Peralatan Konstruksi</t>
  </si>
  <si>
    <t>Concrete mixer</t>
  </si>
  <si>
    <t>Concrete vibrator</t>
  </si>
  <si>
    <t>Bulldozer</t>
  </si>
  <si>
    <t>Mesin Genset</t>
  </si>
  <si>
    <t>Mesin Las</t>
  </si>
  <si>
    <t>Waterpump</t>
  </si>
  <si>
    <t>Excavator</t>
  </si>
  <si>
    <t>Vibrator roller</t>
  </si>
  <si>
    <t>Pneumatic tyre roller</t>
  </si>
  <si>
    <t>Dump Truck</t>
  </si>
  <si>
    <t>Truck bak terbuka</t>
  </si>
  <si>
    <t>Watertank truck</t>
  </si>
  <si>
    <t>Truck 3 suku</t>
  </si>
  <si>
    <t>trip</t>
  </si>
  <si>
    <t>Wheel loader</t>
  </si>
  <si>
    <t>Motor Grader</t>
  </si>
  <si>
    <t>Propinsi</t>
  </si>
  <si>
    <t>Kabupaten</t>
  </si>
  <si>
    <t>Pekerjaan</t>
  </si>
  <si>
    <t>SUMATERA UTARA</t>
  </si>
  <si>
    <t>JUMLAH HARGA (Rp)</t>
  </si>
  <si>
    <t xml:space="preserve">Terbilang </t>
  </si>
  <si>
    <t>PEMBULATAN</t>
  </si>
  <si>
    <t>Jumlah I.</t>
  </si>
  <si>
    <t>Jumlah II.</t>
  </si>
  <si>
    <t>Jumlah III.</t>
  </si>
  <si>
    <t>Jumlah IV</t>
  </si>
  <si>
    <t>Jumlah V</t>
  </si>
  <si>
    <t>Jumlah VI</t>
  </si>
  <si>
    <t>Jumlah VII</t>
  </si>
  <si>
    <t>Jumlah VIII</t>
  </si>
  <si>
    <t>Jumlah IX</t>
  </si>
  <si>
    <t>XII</t>
  </si>
  <si>
    <t xml:space="preserve">Lantai </t>
  </si>
  <si>
    <t>m4</t>
  </si>
  <si>
    <t>SLOOF 20X25cm</t>
  </si>
  <si>
    <t>BACK UP DATA</t>
  </si>
  <si>
    <t xml:space="preserve">Pekerjaan Sloof (SL) Uk.25X20 Cm </t>
  </si>
  <si>
    <t xml:space="preserve">Ring Balok 15x20 cm </t>
  </si>
  <si>
    <t>DAK TAHUN ANGGARAN 2023</t>
  </si>
  <si>
    <t>Pembongkaran Atap Existing</t>
  </si>
  <si>
    <t>PPn 11 %</t>
  </si>
  <si>
    <t>BEBAN BIAYA UMUM K3</t>
  </si>
  <si>
    <t>Pembongkaran Dinding bata</t>
  </si>
  <si>
    <t>Menggali 1 m3 tanah biasa pondasi tapak</t>
  </si>
  <si>
    <t>Menggali 1 m3 tanah biasa pondasi menerus</t>
  </si>
  <si>
    <t>P x L x T x JLH</t>
  </si>
  <si>
    <t>(P + L)</t>
  </si>
  <si>
    <t xml:space="preserve">(L1 + L2)/2 x T x P </t>
  </si>
  <si>
    <t>Mengurug kembali</t>
  </si>
  <si>
    <t>G.T.Biasa+P.Bt.Belah-P.Urug-P. tapak-Pondasi pedestal-pondasi batu belah</t>
  </si>
  <si>
    <t>dibawah pondasi tapak</t>
  </si>
  <si>
    <t>dibawah pondasi pas batu</t>
  </si>
  <si>
    <t>dibawah lantai gudang</t>
  </si>
  <si>
    <t>dibawah lantai halaman luar</t>
  </si>
  <si>
    <t>Pekerjaan Pondasi Tapak</t>
  </si>
  <si>
    <t>Pekerjaan Pondasi Pedestal</t>
  </si>
  <si>
    <t>Membuat 1 m3 ring balok beton bertulang (200 kg besi + bekisting)</t>
  </si>
  <si>
    <t>Memasang 1 m2 dinding bata merah ukuran (5 x 11 x 22) cm tebal 1/2 bata, campuran spesi 1 PC : 2 PP</t>
  </si>
  <si>
    <t>Memasang 1 m2 dinding bata merah ukuran (5 x 11 x 22) cm tebal 1/2 bata, campuran spesi 1 PC : 4 PP</t>
  </si>
  <si>
    <t>P x T - L. Pintu +L.Roaster</t>
  </si>
  <si>
    <t>sisi 1</t>
  </si>
  <si>
    <t>sisi 2</t>
  </si>
  <si>
    <t>sisi 3</t>
  </si>
  <si>
    <t>sisi 4</t>
  </si>
  <si>
    <t>sisi 5</t>
  </si>
  <si>
    <t>sisi 6</t>
  </si>
  <si>
    <t>Pemasangan Rabung</t>
  </si>
  <si>
    <t>Talang seng</t>
  </si>
  <si>
    <t>Topi Pelindung ( Safety Helmet )</t>
  </si>
  <si>
    <t>Sarung Tangan ( Safety Gloves )</t>
  </si>
  <si>
    <t>Rompi Keselamatan ( Safety Vest )</t>
  </si>
  <si>
    <t>Sepatu Keselamatan ( Safety Shoes )</t>
  </si>
  <si>
    <t>Kotak P3K</t>
  </si>
  <si>
    <t>psg</t>
  </si>
  <si>
    <t>Pembongkaran dinding bata</t>
  </si>
  <si>
    <t>Kolom 25X25 cm Kolom</t>
  </si>
  <si>
    <t xml:space="preserve">Kolom 15X15cm Kolom praktis </t>
  </si>
  <si>
    <t>Kolom 25X25 cm Kolom pedestal</t>
  </si>
  <si>
    <t>RING BALOK</t>
  </si>
  <si>
    <t>Kolom 15X15cm Kolom praktis</t>
  </si>
  <si>
    <t>A. 2.2.1.14.A</t>
  </si>
  <si>
    <t>Bongkaran dinding tembok bata merah</t>
  </si>
  <si>
    <t>Bongkaran rangka atap dan atap</t>
  </si>
  <si>
    <t>A. 2.2.1.14.b</t>
  </si>
  <si>
    <t>PEKERJAAN ATAP + PLAFOND</t>
  </si>
  <si>
    <t>Memasang Kanopi ( rangka hollow + atap acrylic )</t>
  </si>
  <si>
    <t xml:space="preserve">Memasang Rangka Plafond </t>
  </si>
  <si>
    <t>Memasang Plafond PVC</t>
  </si>
  <si>
    <t xml:space="preserve">Pekerjaan  kolom 25X25 Cm </t>
  </si>
  <si>
    <t>Balok Latei 15 x 20</t>
  </si>
  <si>
    <t>Balok Latei</t>
  </si>
  <si>
    <t>Pekerjaan Pasangan dinding Karawang (roster)</t>
  </si>
  <si>
    <t>Jumlah X</t>
  </si>
  <si>
    <t>PEKERJAAN LANTAI &amp; DINDING KERAMIK</t>
  </si>
  <si>
    <t>Kanopy atap acrylic</t>
  </si>
  <si>
    <t>kanopy atap zincalum</t>
  </si>
  <si>
    <t>Rangka Plafond</t>
  </si>
  <si>
    <t>penutup plafond PVC</t>
  </si>
  <si>
    <t>memasang 1 m2 roaster</t>
  </si>
  <si>
    <t>A.4.4.1.23.</t>
  </si>
  <si>
    <t>Memasang Dinding Keramik 20 x 25</t>
  </si>
  <si>
    <t>Memasang Lantai keramik 20 x 20</t>
  </si>
  <si>
    <t>Memasang Kanopi ( rangka hollow + atap Seng Zincalum)</t>
  </si>
  <si>
    <t>A. 4.4.3.36</t>
  </si>
  <si>
    <t>A. 4.1.1.5.</t>
  </si>
  <si>
    <t>balok latei</t>
  </si>
  <si>
    <t>.A.4.1.1.5.</t>
  </si>
  <si>
    <t>Membuat Rabat Beton Halaman Gudang t= 8 cm (finish Aci)</t>
  </si>
  <si>
    <t>A. 4.4.1.23</t>
  </si>
  <si>
    <t>Batu terawang roster</t>
  </si>
  <si>
    <t>1 M2 Pemasangan Dinding Terawang (Rooster) 20x11x20 Camp. Spesi 1Pc : 4Pp</t>
  </si>
  <si>
    <t>Memasang Lantai keramik 60 x 60</t>
  </si>
  <si>
    <t>Timbunan Pasir t=10 cm</t>
  </si>
  <si>
    <t>Area Dalam Ruangan</t>
  </si>
  <si>
    <t>Teras Depan</t>
  </si>
  <si>
    <t>Kamar Mandi</t>
  </si>
  <si>
    <t>Membuat Rabat Beton Lantai Gudang t = 10 cm (Finish Aci)</t>
  </si>
  <si>
    <t>Dalam Kantor</t>
  </si>
  <si>
    <t>Teras depan</t>
  </si>
  <si>
    <t xml:space="preserve">
  No</t>
  </si>
  <si>
    <t xml:space="preserve">
            Uraian</t>
  </si>
  <si>
    <t xml:space="preserve">
  Kode</t>
  </si>
  <si>
    <t xml:space="preserve">
   Satuan</t>
  </si>
  <si>
    <t xml:space="preserve">
    Koefisien</t>
  </si>
  <si>
    <t xml:space="preserve">       Harga
      Satuan
        (Rp)</t>
  </si>
  <si>
    <t xml:space="preserve">       Jumlah
         Harga
          (Rp)</t>
  </si>
  <si>
    <t xml:space="preserve">   A</t>
  </si>
  <si>
    <t xml:space="preserve"> TENAGA</t>
  </si>
  <si>
    <t/>
  </si>
  <si>
    <t xml:space="preserve"> Pekerja</t>
  </si>
  <si>
    <t xml:space="preserve">  L.01</t>
  </si>
  <si>
    <t xml:space="preserve">      OH</t>
  </si>
  <si>
    <t xml:space="preserve"> Tukang batu</t>
  </si>
  <si>
    <t xml:space="preserve">  L.02</t>
  </si>
  <si>
    <t xml:space="preserve"> Kepala tukang</t>
  </si>
  <si>
    <t xml:space="preserve">  L.03</t>
  </si>
  <si>
    <t xml:space="preserve"> Mandor</t>
  </si>
  <si>
    <t xml:space="preserve">  L.04</t>
  </si>
  <si>
    <t xml:space="preserve">   JUMLAH TENAGA KERJA</t>
  </si>
  <si>
    <t xml:space="preserve">   B</t>
  </si>
  <si>
    <t xml:space="preserve"> BAHAN</t>
  </si>
  <si>
    <t xml:space="preserve">       Bh</t>
  </si>
  <si>
    <t xml:space="preserve"> Semen Portland</t>
  </si>
  <si>
    <t xml:space="preserve">       kg</t>
  </si>
  <si>
    <t xml:space="preserve"> Semen warna</t>
  </si>
  <si>
    <t xml:space="preserve">       Kg</t>
  </si>
  <si>
    <t xml:space="preserve"> Pasir pasang</t>
  </si>
  <si>
    <t xml:space="preserve">               3
       M</t>
  </si>
  <si>
    <t xml:space="preserve">    JUMLAH HARGA BAHAN</t>
  </si>
  <si>
    <t xml:space="preserve">   C</t>
  </si>
  <si>
    <t xml:space="preserve"> PERALATAN</t>
  </si>
  <si>
    <t xml:space="preserve">     JUMLAH HARGA ALAT</t>
  </si>
  <si>
    <t xml:space="preserve"> Jumlah (A+B+C)</t>
  </si>
  <si>
    <t xml:space="preserve">   E</t>
  </si>
  <si>
    <t xml:space="preserve"> Overhead &amp; Profit (Contoh 15%)</t>
  </si>
  <si>
    <t xml:space="preserve">  15% x D (maksimum)</t>
  </si>
  <si>
    <t xml:space="preserve">   F</t>
  </si>
  <si>
    <t xml:space="preserve"> Harga Satuan Pekerjaan (D+E)</t>
  </si>
  <si>
    <t>A.4.4.3.13. Pemasangan 1 m2 lantai Granit ukuran 60 cm x 60</t>
  </si>
  <si>
    <t>Granit 60 x 60</t>
  </si>
  <si>
    <t>A.4.4.3.13.</t>
  </si>
  <si>
    <t>A.4.4.3.36. Pemasangan 1m2 lantai keramik ukuran 20 cm x 20 cm</t>
  </si>
  <si>
    <t>Keramik</t>
  </si>
  <si>
    <t>Harga Satuan</t>
  </si>
  <si>
    <t>hollow</t>
  </si>
  <si>
    <t>Membuat 1 m2 pintu besi plat baja tebal 2 mm , rangka baja UNP 5 (50x38x5mm) - P3</t>
  </si>
  <si>
    <t>Pekerjaan Kosen pintu ruang kantor P1</t>
  </si>
  <si>
    <t>Pekerjaan Pintu ruang kantor P1</t>
  </si>
  <si>
    <t>Pekerjaan Kosen pintu ruang kantor P2</t>
  </si>
  <si>
    <t>Pekerjaan Pintu ruang kantor P2</t>
  </si>
  <si>
    <t>Pekerjaan Daun Pintu Piber KM/WC (P4 = 1 Unit)</t>
  </si>
  <si>
    <t>Membuat dan memasang 1 m3 kusen pintu dan kusen jendela, kayu kelas II P2</t>
  </si>
  <si>
    <t>Membuat dan memasang 1 m2 daun pintu panel, kayu kelas II P2</t>
  </si>
  <si>
    <t>Membuat dan memasang 1 m3 kusen pintu dan kusen jendela, kayu kelas II P1</t>
  </si>
  <si>
    <t>Membuat dan memasang 1 m2 daun pintu panel, kayu kelas II P1</t>
  </si>
  <si>
    <t>Kunci Tanam</t>
  </si>
  <si>
    <t>Membuat dan memasang 1 m3 kusen pintu dan kusen jendela, kayu kelas II J1</t>
  </si>
  <si>
    <t>Membuat Daun Jendela Kaca Rayben</t>
  </si>
  <si>
    <t>Ventilasi</t>
  </si>
  <si>
    <t>Pekerjaan Kosen Jendela J1</t>
  </si>
  <si>
    <t>Pekerjaan Daun Jendela J1 Kaca Rayben 5mm</t>
  </si>
  <si>
    <t>Kaca</t>
  </si>
  <si>
    <t>A.4.6.1.6</t>
  </si>
  <si>
    <t>A.4.6.2.2. Pemasangan 1 buah kunci tanam biasa</t>
  </si>
  <si>
    <t>A.4.6.2.2.</t>
  </si>
  <si>
    <t>A.4.6.2.5. Pemasangan 1 buah engsel pintu</t>
  </si>
  <si>
    <t>A.4.6.2.5.</t>
  </si>
  <si>
    <t>Engsel 4" Pintu</t>
  </si>
  <si>
    <t>A.4.6.2.6. Pemasangan 1 buah engsel jendela kupu-kupu</t>
  </si>
  <si>
    <t>Engsel kupu-kupu</t>
  </si>
  <si>
    <t>A.4.6.2.6.</t>
  </si>
  <si>
    <t>Pemasangan Engsel Jendela</t>
  </si>
  <si>
    <t xml:space="preserve"> A.4.6.2.9. Pemasangan 1 buah kait angin</t>
  </si>
  <si>
    <t>kait angin</t>
  </si>
  <si>
    <t>Pemasangan Kait Jendela</t>
  </si>
  <si>
    <t>A.4.6.2.9.</t>
  </si>
  <si>
    <r>
      <t xml:space="preserve">   </t>
    </r>
    <r>
      <rPr>
        <sz val="10"/>
        <color indexed="8"/>
        <rFont val="Calibri"/>
        <family val="2"/>
        <scheme val="minor"/>
      </rPr>
      <t>A</t>
    </r>
  </si>
  <si>
    <r>
      <t xml:space="preserve"> </t>
    </r>
    <r>
      <rPr>
        <sz val="10"/>
        <color indexed="8"/>
        <rFont val="Calibri"/>
        <family val="2"/>
        <scheme val="minor"/>
      </rPr>
      <t>TENAGA</t>
    </r>
  </si>
  <si>
    <r>
      <t xml:space="preserve"> </t>
    </r>
    <r>
      <rPr>
        <sz val="10"/>
        <color indexed="8"/>
        <rFont val="Calibri"/>
        <family val="2"/>
        <scheme val="minor"/>
      </rPr>
      <t>Pekerja</t>
    </r>
  </si>
  <si>
    <r>
      <t xml:space="preserve">  </t>
    </r>
    <r>
      <rPr>
        <sz val="10"/>
        <color indexed="8"/>
        <rFont val="Calibri"/>
        <family val="2"/>
        <scheme val="minor"/>
      </rPr>
      <t>L.01</t>
    </r>
  </si>
  <si>
    <r>
      <t xml:space="preserve">      </t>
    </r>
    <r>
      <rPr>
        <sz val="10"/>
        <color indexed="8"/>
        <rFont val="Calibri"/>
        <family val="2"/>
        <scheme val="minor"/>
      </rPr>
      <t>OH</t>
    </r>
  </si>
  <si>
    <r>
      <t xml:space="preserve"> </t>
    </r>
    <r>
      <rPr>
        <sz val="10"/>
        <color indexed="8"/>
        <rFont val="Calibri"/>
        <family val="2"/>
        <scheme val="minor"/>
      </rPr>
      <t>Tukang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batu</t>
    </r>
  </si>
  <si>
    <r>
      <t xml:space="preserve">  </t>
    </r>
    <r>
      <rPr>
        <sz val="10"/>
        <color indexed="8"/>
        <rFont val="Calibri"/>
        <family val="2"/>
        <scheme val="minor"/>
      </rPr>
      <t>L.02</t>
    </r>
  </si>
  <si>
    <r>
      <t xml:space="preserve"> </t>
    </r>
    <r>
      <rPr>
        <sz val="10"/>
        <color indexed="8"/>
        <rFont val="Calibri"/>
        <family val="2"/>
        <scheme val="minor"/>
      </rPr>
      <t>Kepala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tukang</t>
    </r>
  </si>
  <si>
    <r>
      <t xml:space="preserve">  </t>
    </r>
    <r>
      <rPr>
        <sz val="10"/>
        <color indexed="8"/>
        <rFont val="Calibri"/>
        <family val="2"/>
        <scheme val="minor"/>
      </rPr>
      <t>L.03</t>
    </r>
  </si>
  <si>
    <r>
      <t xml:space="preserve"> </t>
    </r>
    <r>
      <rPr>
        <sz val="10"/>
        <color indexed="8"/>
        <rFont val="Calibri"/>
        <family val="2"/>
        <scheme val="minor"/>
      </rPr>
      <t>Mandor</t>
    </r>
  </si>
  <si>
    <r>
      <t xml:space="preserve">  </t>
    </r>
    <r>
      <rPr>
        <sz val="10"/>
        <color indexed="8"/>
        <rFont val="Calibri"/>
        <family val="2"/>
        <scheme val="minor"/>
      </rPr>
      <t>L.04</t>
    </r>
  </si>
  <si>
    <r>
      <t xml:space="preserve">   </t>
    </r>
    <r>
      <rPr>
        <sz val="10"/>
        <color indexed="8"/>
        <rFont val="Calibri"/>
        <family val="2"/>
        <scheme val="minor"/>
      </rPr>
      <t>JUMLAH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TENAGA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KERJA</t>
    </r>
  </si>
  <si>
    <r>
      <t xml:space="preserve">   </t>
    </r>
    <r>
      <rPr>
        <sz val="10"/>
        <color indexed="8"/>
        <rFont val="Calibri"/>
        <family val="2"/>
        <scheme val="minor"/>
      </rPr>
      <t>B</t>
    </r>
  </si>
  <si>
    <r>
      <t xml:space="preserve"> </t>
    </r>
    <r>
      <rPr>
        <sz val="10"/>
        <color indexed="8"/>
        <rFont val="Calibri"/>
        <family val="2"/>
        <scheme val="minor"/>
      </rPr>
      <t>BAHAN</t>
    </r>
  </si>
  <si>
    <r>
      <t xml:space="preserve">     </t>
    </r>
    <r>
      <rPr>
        <sz val="10"/>
        <color indexed="8"/>
        <rFont val="Calibri"/>
        <family val="2"/>
        <scheme val="minor"/>
      </rPr>
      <t>Doos</t>
    </r>
  </si>
  <si>
    <r>
      <rPr>
        <sz val="10"/>
        <color indexed="8"/>
        <rFont val="Calibri"/>
        <family val="2"/>
        <scheme val="minor"/>
      </rPr>
      <t>Semen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Portland</t>
    </r>
  </si>
  <si>
    <r>
      <t xml:space="preserve">       </t>
    </r>
    <r>
      <rPr>
        <sz val="10"/>
        <color indexed="8"/>
        <rFont val="Calibri"/>
        <family val="2"/>
        <scheme val="minor"/>
      </rPr>
      <t>Kg</t>
    </r>
  </si>
  <si>
    <r>
      <rPr>
        <sz val="10"/>
        <color indexed="8"/>
        <rFont val="Calibri"/>
        <family val="2"/>
        <scheme val="minor"/>
      </rPr>
      <t>Pasir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pasang</t>
    </r>
  </si>
  <si>
    <r>
      <t>M</t>
    </r>
    <r>
      <rPr>
        <sz val="10"/>
        <color indexed="8"/>
        <rFont val="Calibri"/>
        <family val="2"/>
        <scheme val="minor"/>
      </rPr>
      <t>3</t>
    </r>
  </si>
  <si>
    <r>
      <rPr>
        <sz val="10"/>
        <color indexed="8"/>
        <rFont val="Calibri"/>
        <family val="2"/>
        <scheme val="minor"/>
      </rPr>
      <t>Semen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warna</t>
    </r>
  </si>
  <si>
    <r>
      <t xml:space="preserve">    </t>
    </r>
    <r>
      <rPr>
        <sz val="10"/>
        <color indexed="8"/>
        <rFont val="Calibri"/>
        <family val="2"/>
        <scheme val="minor"/>
      </rPr>
      <t>JUMLAH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HARGA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BAHAN</t>
    </r>
  </si>
  <si>
    <r>
      <t xml:space="preserve">   </t>
    </r>
    <r>
      <rPr>
        <sz val="10"/>
        <color indexed="8"/>
        <rFont val="Calibri"/>
        <family val="2"/>
        <scheme val="minor"/>
      </rPr>
      <t>C</t>
    </r>
  </si>
  <si>
    <r>
      <t xml:space="preserve"> </t>
    </r>
    <r>
      <rPr>
        <sz val="10"/>
        <color indexed="8"/>
        <rFont val="Calibri"/>
        <family val="2"/>
        <scheme val="minor"/>
      </rPr>
      <t>PERALATAN</t>
    </r>
  </si>
  <si>
    <r>
      <t xml:space="preserve">     </t>
    </r>
    <r>
      <rPr>
        <sz val="10"/>
        <color indexed="8"/>
        <rFont val="Calibri"/>
        <family val="2"/>
        <scheme val="minor"/>
      </rPr>
      <t>JUMLAH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HARGA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ALAT</t>
    </r>
  </si>
  <si>
    <r>
      <t xml:space="preserve">   </t>
    </r>
    <r>
      <rPr>
        <sz val="10"/>
        <color indexed="8"/>
        <rFont val="Calibri"/>
        <family val="2"/>
        <scheme val="minor"/>
      </rPr>
      <t>D</t>
    </r>
  </si>
  <si>
    <r>
      <t xml:space="preserve"> </t>
    </r>
    <r>
      <rPr>
        <sz val="10"/>
        <color indexed="8"/>
        <rFont val="Calibri"/>
        <family val="2"/>
        <scheme val="minor"/>
      </rPr>
      <t>Jumlah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(A+B+C)</t>
    </r>
  </si>
  <si>
    <r>
      <t xml:space="preserve">   </t>
    </r>
    <r>
      <rPr>
        <sz val="10"/>
        <color indexed="8"/>
        <rFont val="Calibri"/>
        <family val="2"/>
        <scheme val="minor"/>
      </rPr>
      <t>E</t>
    </r>
  </si>
  <si>
    <r>
      <t xml:space="preserve"> </t>
    </r>
    <r>
      <rPr>
        <i/>
        <sz val="10"/>
        <color indexed="8"/>
        <rFont val="Calibri"/>
        <family val="2"/>
        <scheme val="minor"/>
      </rPr>
      <t>Overhead</t>
    </r>
    <r>
      <rPr>
        <sz val="10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&amp;</t>
    </r>
    <r>
      <rPr>
        <sz val="10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Profit</t>
    </r>
    <r>
      <rPr>
        <sz val="10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(Contoh</t>
    </r>
    <r>
      <rPr>
        <sz val="10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15%)</t>
    </r>
  </si>
  <si>
    <r>
      <t xml:space="preserve">  </t>
    </r>
    <r>
      <rPr>
        <sz val="10"/>
        <color indexed="8"/>
        <rFont val="Calibri"/>
        <family val="2"/>
        <scheme val="minor"/>
      </rPr>
      <t>15%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x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(maksimum)</t>
    </r>
  </si>
  <si>
    <r>
      <t xml:space="preserve">   </t>
    </r>
    <r>
      <rPr>
        <sz val="10"/>
        <color indexed="8"/>
        <rFont val="Calibri"/>
        <family val="2"/>
        <scheme val="minor"/>
      </rPr>
      <t>F</t>
    </r>
  </si>
  <si>
    <r>
      <t xml:space="preserve"> </t>
    </r>
    <r>
      <rPr>
        <sz val="10"/>
        <color indexed="8"/>
        <rFont val="Calibri"/>
        <family val="2"/>
        <scheme val="minor"/>
      </rPr>
      <t>Harga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Satuan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Pekerjaan</t>
    </r>
    <r>
      <rPr>
        <sz val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(D+E)</t>
    </r>
  </si>
  <si>
    <t>A.5.1.1 12. Pemasangan 1 buah bak cuci piring stainlessteel</t>
  </si>
  <si>
    <t xml:space="preserve">    Bak cuci piring</t>
  </si>
  <si>
    <t xml:space="preserve">    Waterdrain</t>
  </si>
  <si>
    <t xml:space="preserve">     Unit</t>
  </si>
  <si>
    <t xml:space="preserve">     buah</t>
  </si>
  <si>
    <t>Pemasangan Kitchen Zink Stainless</t>
  </si>
  <si>
    <t>A.5.1.1 12.</t>
  </si>
  <si>
    <t>Rangka metal hollow 40.40.2 mm</t>
  </si>
  <si>
    <t xml:space="preserve"> 100%xrangka</t>
  </si>
  <si>
    <t>M</t>
  </si>
  <si>
    <t>Pemasangan 1 m2 rangka besi hollow</t>
  </si>
  <si>
    <t>Pemasangan Atap Spandek</t>
  </si>
  <si>
    <t>A.4.2.1.21</t>
  </si>
  <si>
    <t>Dihitung K1. Pemasangan 1M2 Kanopi Rangka Hollow atap spandek</t>
  </si>
  <si>
    <t>Dihitung K2. Pemasangan 1M2 Kanopi Rangka Hollow atap Acliric</t>
  </si>
  <si>
    <t>A. 4.4.3.75 Pemasangan 1m2 Dinding keramik ukuran 20 cm x 25 cm</t>
  </si>
  <si>
    <t>A. 4.4.3.75</t>
  </si>
  <si>
    <t>Rangka metal Furing</t>
  </si>
  <si>
    <t>A.4.2.1.21.A Pemasangan 1 m2 rangka Furing hollow untuk plafond</t>
  </si>
  <si>
    <t xml:space="preserve">A.4.2.1.21.A </t>
  </si>
  <si>
    <t xml:space="preserve"> 100% x rangka</t>
  </si>
  <si>
    <t>A. 4.5.1.7A</t>
  </si>
  <si>
    <t xml:space="preserve">1 M2 Pemasangan Langit - langit PVC </t>
  </si>
  <si>
    <t>Plafond PVC</t>
  </si>
  <si>
    <r>
      <t xml:space="preserve"> </t>
    </r>
    <r>
      <rPr>
        <sz val="10"/>
        <color indexed="8"/>
        <rFont val="Calibri"/>
        <family val="2"/>
        <scheme val="minor"/>
      </rPr>
      <t>Tukang</t>
    </r>
    <r>
      <rPr>
        <sz val="10"/>
        <rFont val="Calibri"/>
        <family val="2"/>
        <scheme val="minor"/>
      </rPr>
      <t xml:space="preserve"> </t>
    </r>
  </si>
  <si>
    <t>Pallet plastik 100x120x15</t>
  </si>
  <si>
    <t>Pemasangan 1 m2 plesteran 1SP : 2 PP tebal 1.5 cm</t>
  </si>
  <si>
    <t>Pemasangan 1 m2 plesteran 1SP : 4 PP tebal 1.5 cm</t>
  </si>
  <si>
    <t>Plesteran tebal 1.5 cm dengan mortir tipe N (setara camp. 1pc ; 4pp)</t>
  </si>
  <si>
    <t>Membuat 1 m3 beton mutu f'˛ = 19.3 Mpa K225</t>
  </si>
  <si>
    <t>Membuat 1 m3 beton mutu f'˛ = 14.5 Mpa</t>
  </si>
  <si>
    <t>Pembesian kolom. balok. ring balok dan sloof</t>
  </si>
  <si>
    <t>Membuat 1 m2 pintu besi plat baja tebal 2 mm rangkap. rangka baja UNP 5 (50x38x5mm) - 6m</t>
  </si>
  <si>
    <t>Besi plat baja 1.90 mm 1.2 x 2.4</t>
  </si>
  <si>
    <t>A.4.6.1.6. Pembuatan  dan pemasangan 1 m2 pintu dan  jendela kaca. kayu kelas I atau II</t>
  </si>
  <si>
    <t xml:space="preserve">Paku sekrup 3.5"/Kait </t>
  </si>
  <si>
    <t>Truss C75. t = 0.75 mm</t>
  </si>
  <si>
    <t>Reng U 121. 5/35 t 0.5 mm</t>
  </si>
  <si>
    <t>Pengecatan 1 m2 tembok baru (1lapis plamur. 1 lapis cat dasar.2 lapis cat penutup)</t>
  </si>
  <si>
    <t>Memasang 1 Bh Stop Kontak. 1 Phase. 10 A. 250 VAC</t>
  </si>
  <si>
    <t>Stop Kontak. 1 Phase. 10 A. 250 VAC</t>
  </si>
  <si>
    <t>Kabel NYM 3x2.5 mm2</t>
  </si>
  <si>
    <t>Fitting. kotak sambung. klem &amp; alat bantu lainnya</t>
  </si>
  <si>
    <t>Pemasangan 1 m baja ringan C 75. t=0.75 mm</t>
  </si>
  <si>
    <t>baja ringan C 75. t=0.75 mm</t>
  </si>
  <si>
    <t>A.4.2.1.21. Pemasangan 1 m2 rangka besi hollow 1x40.40.2mm. modul 60 x 60</t>
  </si>
  <si>
    <t>Assesoris (perkuatan. las dll)</t>
  </si>
  <si>
    <t>Pengecatan Kusen dan daun pintu dengan cat minyak</t>
  </si>
  <si>
    <t>Mengecat dengan cat minyak</t>
  </si>
  <si>
    <t>A. 4.7.1.4. Pengecatan 1 m2 kayu  (1 lapis plamur, 1 lapis cat dasar, 2 lapis cat penutup)</t>
  </si>
  <si>
    <t xml:space="preserve">Cat penutup </t>
  </si>
  <si>
    <t xml:space="preserve">Kuas </t>
  </si>
  <si>
    <t xml:space="preserve">Pengencer </t>
  </si>
  <si>
    <t xml:space="preserve">Ampelas </t>
  </si>
  <si>
    <t>A. 4.7.1.4.</t>
  </si>
  <si>
    <t>Pek. Drainase</t>
  </si>
  <si>
    <t>Galian Tanah</t>
  </si>
  <si>
    <t>Drainase</t>
  </si>
  <si>
    <t>Bekisting</t>
  </si>
  <si>
    <t>Pembesian</t>
  </si>
  <si>
    <t>Pekerjaan Drainase</t>
  </si>
  <si>
    <t xml:space="preserve">Bekesting Dinding Saluran </t>
  </si>
  <si>
    <t>Beton</t>
  </si>
  <si>
    <t>ltr</t>
  </si>
  <si>
    <t>lembar</t>
  </si>
  <si>
    <t>Besi Hollow 20.40</t>
  </si>
  <si>
    <t xml:space="preserve">PEKERJAAN INSTALASI AIR + LISTRIK </t>
  </si>
  <si>
    <t xml:space="preserve">pasang dan penyambungan Kabel Twisted NFA </t>
  </si>
  <si>
    <t>ktk</t>
  </si>
  <si>
    <t>Batu Karawang ( Roaster )</t>
  </si>
  <si>
    <t xml:space="preserve"> PERENCANAAN RENOVASI GUDANG SARANA PRODUKSI UPTD  BI PALAWIJA TANJUNG SELAMAT</t>
  </si>
  <si>
    <t>PERENCANAAN RENOVASI GUDANG SARANA PRODUKSI BI PALAWIJA TANJUNG SELAMAT</t>
  </si>
  <si>
    <t>Pemasangan Atap Acliric 10 mm</t>
  </si>
  <si>
    <t>Memasang 1 Bh Saklar tunggal</t>
  </si>
  <si>
    <t>Memasang 1 bh Saklar ganda</t>
  </si>
  <si>
    <t>Memasang 1 Bh Saklar Tunggal</t>
  </si>
  <si>
    <t>Saklar Tunggal setara broco</t>
  </si>
  <si>
    <t>Memasang 1 bh kran cuci piring</t>
  </si>
  <si>
    <t>meja beton</t>
  </si>
  <si>
    <t xml:space="preserve">Bekesting  </t>
  </si>
  <si>
    <t xml:space="preserve">Bekesting </t>
  </si>
  <si>
    <t>Meja Beton</t>
  </si>
  <si>
    <t>Lima Ratus Dua Puluh Delapan Juta Empat Ratus Tiga Puluh Tujuh Ribu 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</si>
</sst>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_(* #,##0.000_);_(* \(#,##0.000\);_(* &quot;-&quot;_);_(@_)"/>
    <numFmt numFmtId="169" formatCode="_(* #,##0.000_);_(* \(#,##0.000\);_(* &quot;-&quot;???_);_(@_)"/>
    <numFmt numFmtId="170" formatCode="0.000"/>
    <numFmt numFmtId="171" formatCode="0.0"/>
    <numFmt numFmtId="172" formatCode="0.0000"/>
    <numFmt numFmtId="173" formatCode="0.00000"/>
    <numFmt numFmtId="174" formatCode="_-* #,##0.00_-;_-* #,##0.00\-;_-* &quot;-&quot;??_-;_-@_-"/>
    <numFmt numFmtId="175" formatCode="0.00_)"/>
    <numFmt numFmtId="176" formatCode="_(* #,##0.0000_);_(* \(#,##0.0000\);_(* &quot;-&quot;_);_(@_)"/>
    <numFmt numFmtId="177" formatCode="_(* #,##0.0_);_(* \(#,##0.0\);_(* &quot;-&quot;_);_(@_)"/>
    <numFmt numFmtId="178" formatCode="#,##0.000"/>
    <numFmt numFmtId="179" formatCode="_(* #,##0.000_);_(* \(#,##0.000\);_(* &quot;-&quot;??_);_(@_)"/>
    <numFmt numFmtId="180" formatCode="&quot;N.&quot;00#"/>
    <numFmt numFmtId="181" formatCode="&quot;I.&quot;00#"/>
    <numFmt numFmtId="182" formatCode="#,##0.00000_);\(#,##0.00000\)"/>
    <numFmt numFmtId="183" formatCode="0.00000_);\(0.00000\)"/>
    <numFmt numFmtId="184" formatCode="&quot;Rp.&quot;#,##0\ ;\(&quot;Rp.&quot;#,##0\)"/>
    <numFmt numFmtId="185" formatCode="#,##0.000_);\(#,##0.000\)"/>
    <numFmt numFmtId="186" formatCode="_(* #,##0.0000_);_(* \(#,##0.0000\);_(* &quot;-&quot;??_);_(@_)"/>
    <numFmt numFmtId="187" formatCode="_(&quot;Rp&quot;* #,##0.00_);_(&quot;Rp&quot;* \(#,##0.00\);_(&quot;Rp&quot;* &quot;-&quot;_);_(@_)"/>
    <numFmt numFmtId="188" formatCode="_([$Rp-421]* #,##0_);_([$Rp-421]* \(#,##0\);_([$Rp-421]* &quot;-&quot;??_);_(@_)"/>
    <numFmt numFmtId="189" formatCode="_([$Rp-421]* #,##0.00_);_([$Rp-421]* \(#,##0.00\);_([$Rp-421]* &quot;-&quot;??_);_(@_)"/>
    <numFmt numFmtId="190" formatCode="&quot;Rp&quot;\ 000000"/>
    <numFmt numFmtId="191" formatCode="_ * #,##0.0000_ ;_ * \-#,##0.0000_ ;_ * &quot;-&quot;????_ ;_ @_ "/>
    <numFmt numFmtId="192" formatCode="_(* #,##0_);_(* \(#,##0\);_(* &quot;-&quot;??_);_(@_)"/>
  </numFmts>
  <fonts count="1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Malgun Gothic"/>
      <family val="2"/>
    </font>
    <font>
      <b/>
      <sz val="10"/>
      <name val="Malgun Gothic"/>
      <family val="2"/>
    </font>
    <font>
      <vertAlign val="superscript"/>
      <sz val="10"/>
      <name val="Malgun Gothic"/>
      <family val="2"/>
    </font>
    <font>
      <b/>
      <u/>
      <sz val="10"/>
      <color indexed="8"/>
      <name val="Malgun Gothic"/>
      <family val="2"/>
    </font>
    <font>
      <b/>
      <sz val="11"/>
      <color indexed="10"/>
      <name val="Malgun Gothic"/>
      <family val="2"/>
    </font>
    <font>
      <b/>
      <u/>
      <sz val="10"/>
      <name val="Malgun Gothic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Malgun Gothic"/>
      <family val="2"/>
    </font>
    <font>
      <b/>
      <u/>
      <sz val="11"/>
      <name val="Malgun Gothic"/>
      <family val="2"/>
    </font>
    <font>
      <sz val="11.5"/>
      <name val="Malgun Gothic"/>
      <family val="2"/>
    </font>
    <font>
      <b/>
      <u/>
      <sz val="14"/>
      <name val="Malgun Gothic"/>
      <family val="2"/>
    </font>
    <font>
      <b/>
      <sz val="11"/>
      <name val="Malgun Gothic"/>
      <family val="2"/>
    </font>
    <font>
      <b/>
      <u/>
      <sz val="11"/>
      <color theme="1"/>
      <name val="Malgun Gothic"/>
      <family val="2"/>
    </font>
    <font>
      <sz val="10"/>
      <color theme="1"/>
      <name val="Malgun Gothic"/>
      <family val="2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vertAlign val="superscript"/>
      <sz val="11"/>
      <color theme="1"/>
      <name val="Malgun Gothic"/>
      <family val="2"/>
    </font>
    <font>
      <vertAlign val="superscript"/>
      <sz val="11"/>
      <name val="Malgun Gothic"/>
      <family val="2"/>
    </font>
    <font>
      <b/>
      <vertAlign val="superscript"/>
      <sz val="11"/>
      <color theme="1"/>
      <name val="Malgun Gothic"/>
      <family val="2"/>
    </font>
    <font>
      <sz val="11"/>
      <color indexed="8"/>
      <name val="Malgun Gothic"/>
      <family val="2"/>
    </font>
    <font>
      <b/>
      <u/>
      <sz val="14"/>
      <color theme="1"/>
      <name val="Malgun Gothic"/>
      <family val="2"/>
    </font>
    <font>
      <b/>
      <sz val="10"/>
      <color theme="1"/>
      <name val="Malgun Gothic"/>
      <family val="2"/>
    </font>
    <font>
      <b/>
      <i/>
      <sz val="9"/>
      <color theme="1"/>
      <name val="Malgun Gothic"/>
      <family val="2"/>
    </font>
    <font>
      <vertAlign val="superscript"/>
      <sz val="10"/>
      <color theme="1"/>
      <name val="Malgun Gothic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Malgun Gothic"/>
      <family val="2"/>
    </font>
    <font>
      <b/>
      <vertAlign val="superscript"/>
      <sz val="11"/>
      <color indexed="8"/>
      <name val="Malgun Gothic"/>
      <family val="2"/>
    </font>
    <font>
      <vertAlign val="superscript"/>
      <sz val="11"/>
      <color indexed="8"/>
      <name val="Malgun Gothic"/>
      <family val="2"/>
    </font>
    <font>
      <b/>
      <u/>
      <sz val="12"/>
      <name val="Malgun Gothic"/>
      <family val="2"/>
    </font>
    <font>
      <b/>
      <sz val="12"/>
      <name val="Arial"/>
      <family val="2"/>
    </font>
    <font>
      <b/>
      <sz val="11"/>
      <color theme="0"/>
      <name val="Malgun Gothic"/>
      <family val="2"/>
    </font>
    <font>
      <sz val="10"/>
      <color indexed="8"/>
      <name val="Malgun Gothic"/>
      <family val="2"/>
    </font>
    <font>
      <sz val="10.5"/>
      <name val="Malgun Gothic"/>
      <family val="2"/>
    </font>
    <font>
      <sz val="10.5"/>
      <color theme="1"/>
      <name val="Malgun Gothic"/>
      <family val="2"/>
    </font>
    <font>
      <b/>
      <sz val="10.5"/>
      <name val="Malgun Gothic"/>
      <family val="2"/>
    </font>
    <font>
      <b/>
      <sz val="11"/>
      <color theme="1"/>
      <name val="Arial"/>
      <family val="2"/>
    </font>
    <font>
      <b/>
      <sz val="10"/>
      <color rgb="FFFFFF00"/>
      <name val="Malgun Gothic"/>
      <family val="2"/>
    </font>
    <font>
      <b/>
      <i/>
      <sz val="10"/>
      <color rgb="FFFFFF00"/>
      <name val="Malgun Gothic"/>
      <family val="2"/>
    </font>
    <font>
      <sz val="10"/>
      <color theme="1"/>
      <name val="Malgun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Malgun Gothic"/>
      <family val="2"/>
    </font>
    <font>
      <b/>
      <u/>
      <sz val="16"/>
      <color theme="1"/>
      <name val="Malgun Gothic"/>
      <family val="2"/>
    </font>
    <font>
      <b/>
      <u/>
      <sz val="16"/>
      <name val="Malgun Gothic"/>
      <family val="2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Algerian"/>
      <family val="5"/>
    </font>
    <font>
      <sz val="2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name val="Times New Roman"/>
      <family val="1"/>
    </font>
    <font>
      <b/>
      <sz val="12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color rgb="FF92D050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8"/>
      <name val="Arial"/>
      <family val="2"/>
    </font>
    <font>
      <b/>
      <sz val="11"/>
      <color indexed="8"/>
      <name val="Calibri"/>
      <family val="2"/>
      <charset val="1"/>
    </font>
    <font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Helv"/>
    </font>
    <font>
      <sz val="9"/>
      <name val="Rockwell"/>
      <family val="1"/>
    </font>
    <font>
      <b/>
      <sz val="18"/>
      <color indexed="62"/>
      <name val="Cambria"/>
      <family val="2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rebuchet MS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0"/>
      <name val="Californian FB"/>
      <family val="1"/>
    </font>
    <font>
      <b/>
      <sz val="10"/>
      <color theme="1"/>
      <name val="Californian FB"/>
      <family val="1"/>
    </font>
    <font>
      <sz val="10"/>
      <color theme="0"/>
      <name val="Calibri"/>
      <family val="2"/>
      <scheme val="minor"/>
    </font>
    <font>
      <sz val="10"/>
      <color theme="1"/>
      <name val="Californian FB"/>
      <family val="1"/>
    </font>
    <font>
      <sz val="11"/>
      <color theme="0"/>
      <name val="Arial"/>
      <family val="2"/>
    </font>
    <font>
      <sz val="11"/>
      <name val="Times New Roman"/>
      <family val="1"/>
    </font>
    <font>
      <b/>
      <sz val="14"/>
      <color theme="1"/>
      <name val="Malgun Gothic"/>
      <family val="2"/>
    </font>
    <font>
      <b/>
      <sz val="12"/>
      <name val="Calibri"/>
      <family val="2"/>
      <scheme val="minor"/>
    </font>
    <font>
      <sz val="9"/>
      <name val="Times New Roman"/>
      <family val="1"/>
    </font>
    <font>
      <i/>
      <sz val="10"/>
      <color indexed="8"/>
      <name val="Calibri"/>
      <family val="2"/>
      <scheme val="minor"/>
    </font>
    <font>
      <b/>
      <i/>
      <sz val="10"/>
      <color theme="1"/>
      <name val="Malgun Gothic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 tint="-0.14999847407452621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12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0" fillId="0" borderId="0"/>
    <xf numFmtId="0" fontId="4" fillId="0" borderId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10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9" borderId="0" applyNumberFormat="0" applyBorder="0" applyAlignment="0" applyProtection="0"/>
    <xf numFmtId="0" fontId="69" fillId="6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12" borderId="0" applyNumberFormat="0" applyBorder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165" fontId="6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71" fillId="0" borderId="0" applyFont="0" applyFill="0" applyBorder="0" applyAlignment="0" applyProtection="0"/>
    <xf numFmtId="184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2" fontId="71" fillId="0" borderId="0" applyFont="0" applyFill="0" applyBorder="0" applyAlignment="0" applyProtection="0"/>
    <xf numFmtId="0" fontId="37" fillId="0" borderId="63" applyNumberFormat="0" applyAlignment="0" applyProtection="0">
      <alignment horizontal="left" vertical="center"/>
    </xf>
    <xf numFmtId="0" fontId="37" fillId="0" borderId="4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77" fillId="0" borderId="0"/>
    <xf numFmtId="0" fontId="2" fillId="0" borderId="0"/>
    <xf numFmtId="3" fontId="4" fillId="0" borderId="0"/>
    <xf numFmtId="0" fontId="78" fillId="0" borderId="0"/>
    <xf numFmtId="0" fontId="79" fillId="0" borderId="0"/>
    <xf numFmtId="0" fontId="77" fillId="0" borderId="0"/>
    <xf numFmtId="0" fontId="2" fillId="0" borderId="0"/>
    <xf numFmtId="0" fontId="80" fillId="0" borderId="0"/>
    <xf numFmtId="0" fontId="81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 applyFill="0" applyProtection="0"/>
    <xf numFmtId="0" fontId="4" fillId="0" borderId="0"/>
    <xf numFmtId="0" fontId="4" fillId="0" borderId="0"/>
    <xf numFmtId="39" fontId="8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/>
    <xf numFmtId="0" fontId="81" fillId="0" borderId="0" applyFill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60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2" fillId="0" borderId="0"/>
    <xf numFmtId="0" fontId="4" fillId="0" borderId="0"/>
    <xf numFmtId="0" fontId="77" fillId="0" borderId="0"/>
    <xf numFmtId="0" fontId="4" fillId="0" borderId="0"/>
    <xf numFmtId="0" fontId="81" fillId="0" borderId="0" applyFill="0" applyProtection="0"/>
    <xf numFmtId="0" fontId="7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6" fontId="80" fillId="0" borderId="0"/>
    <xf numFmtId="0" fontId="4" fillId="0" borderId="0"/>
    <xf numFmtId="39" fontId="77" fillId="0" borderId="0"/>
    <xf numFmtId="0" fontId="97" fillId="0" borderId="0"/>
    <xf numFmtId="0" fontId="1" fillId="0" borderId="0"/>
    <xf numFmtId="165" fontId="1" fillId="0" borderId="0" applyFont="0" applyFill="0" applyBorder="0" applyAlignment="0" applyProtection="0"/>
  </cellStyleXfs>
  <cellXfs count="1634">
    <xf numFmtId="0" fontId="0" fillId="0" borderId="0" xfId="0"/>
    <xf numFmtId="167" fontId="0" fillId="0" borderId="0" xfId="1" applyNumberFormat="1" applyFont="1"/>
    <xf numFmtId="166" fontId="0" fillId="0" borderId="0" xfId="2" applyFont="1"/>
    <xf numFmtId="0" fontId="0" fillId="0" borderId="0" xfId="0" applyFill="1"/>
    <xf numFmtId="0" fontId="4" fillId="0" borderId="21" xfId="3" applyFont="1" applyFill="1" applyBorder="1" applyAlignment="1">
      <alignment horizontal="center" vertical="center"/>
    </xf>
    <xf numFmtId="0" fontId="4" fillId="0" borderId="71" xfId="3" applyFont="1" applyFill="1" applyBorder="1" applyAlignment="1">
      <alignment horizontal="center" vertical="center"/>
    </xf>
    <xf numFmtId="0" fontId="4" fillId="0" borderId="68" xfId="3" applyFont="1" applyFill="1" applyBorder="1" applyAlignment="1">
      <alignment horizontal="center" vertical="center"/>
    </xf>
    <xf numFmtId="164" fontId="4" fillId="0" borderId="23" xfId="3" applyNumberFormat="1" applyFont="1" applyFill="1" applyBorder="1" applyAlignment="1">
      <alignment vertical="center"/>
    </xf>
    <xf numFmtId="0" fontId="4" fillId="0" borderId="26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4" fillId="0" borderId="71" xfId="3" quotePrefix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/>
    </xf>
    <xf numFmtId="0" fontId="4" fillId="0" borderId="73" xfId="3" quotePrefix="1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/>
    </xf>
    <xf numFmtId="164" fontId="4" fillId="0" borderId="24" xfId="3" applyNumberFormat="1" applyFont="1" applyFill="1" applyBorder="1" applyAlignment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23" xfId="3" applyFont="1" applyFill="1" applyBorder="1" applyAlignment="1">
      <alignment horizontal="center" vertical="center"/>
    </xf>
    <xf numFmtId="164" fontId="6" fillId="0" borderId="23" xfId="3" applyNumberFormat="1" applyFont="1" applyFill="1" applyBorder="1" applyAlignment="1">
      <alignment vertical="center"/>
    </xf>
    <xf numFmtId="0" fontId="6" fillId="0" borderId="0" xfId="3" applyFont="1" applyFill="1" applyBorder="1"/>
    <xf numFmtId="164" fontId="6" fillId="0" borderId="24" xfId="3" applyNumberFormat="1" applyFont="1" applyFill="1" applyBorder="1" applyAlignment="1">
      <alignment vertical="center"/>
    </xf>
    <xf numFmtId="0" fontId="6" fillId="0" borderId="71" xfId="3" applyFont="1" applyFill="1" applyBorder="1" applyAlignment="1">
      <alignment horizontal="center" vertical="center"/>
    </xf>
    <xf numFmtId="0" fontId="6" fillId="0" borderId="32" xfId="3" applyFont="1" applyFill="1" applyBorder="1"/>
    <xf numFmtId="174" fontId="6" fillId="0" borderId="39" xfId="4" applyNumberFormat="1" applyFont="1" applyFill="1" applyBorder="1"/>
    <xf numFmtId="0" fontId="6" fillId="0" borderId="71" xfId="3" quotePrefix="1" applyFont="1" applyFill="1" applyBorder="1" applyAlignment="1">
      <alignment horizontal="center" vertical="center"/>
    </xf>
    <xf numFmtId="0" fontId="6" fillId="0" borderId="68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vertical="center"/>
    </xf>
    <xf numFmtId="174" fontId="6" fillId="0" borderId="23" xfId="4" applyNumberFormat="1" applyFont="1" applyFill="1" applyBorder="1" applyAlignment="1">
      <alignment vertical="center"/>
    </xf>
    <xf numFmtId="0" fontId="6" fillId="0" borderId="26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164" fontId="6" fillId="0" borderId="0" xfId="3" applyNumberFormat="1" applyFont="1" applyFill="1" applyBorder="1"/>
    <xf numFmtId="167" fontId="6" fillId="0" borderId="0" xfId="1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4" fontId="6" fillId="0" borderId="0" xfId="4" applyNumberFormat="1" applyFont="1" applyFill="1"/>
    <xf numFmtId="174" fontId="10" fillId="0" borderId="0" xfId="4" applyNumberFormat="1" applyFont="1" applyFill="1"/>
    <xf numFmtId="0" fontId="11" fillId="0" borderId="0" xfId="3" applyFont="1" applyFill="1" applyAlignment="1">
      <alignment horizontal="center"/>
    </xf>
    <xf numFmtId="164" fontId="14" fillId="0" borderId="0" xfId="3" applyNumberFormat="1" applyFont="1" applyFill="1" applyBorder="1"/>
    <xf numFmtId="0" fontId="14" fillId="0" borderId="0" xfId="3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 vertical="center"/>
    </xf>
    <xf numFmtId="164" fontId="16" fillId="0" borderId="0" xfId="3" applyNumberFormat="1" applyFont="1" applyFill="1" applyBorder="1"/>
    <xf numFmtId="0" fontId="14" fillId="0" borderId="0" xfId="0" applyFont="1" applyFill="1" applyAlignment="1"/>
    <xf numFmtId="0" fontId="4" fillId="0" borderId="32" xfId="3" applyFont="1" applyFill="1" applyBorder="1" applyAlignment="1">
      <alignment horizontal="center" vertical="center"/>
    </xf>
    <xf numFmtId="164" fontId="4" fillId="0" borderId="32" xfId="3" applyNumberFormat="1" applyFont="1" applyFill="1" applyBorder="1" applyAlignment="1">
      <alignment vertical="center"/>
    </xf>
    <xf numFmtId="164" fontId="4" fillId="0" borderId="33" xfId="3" applyNumberFormat="1" applyFont="1" applyFill="1" applyBorder="1" applyAlignment="1">
      <alignment vertical="center"/>
    </xf>
    <xf numFmtId="0" fontId="6" fillId="0" borderId="23" xfId="3" applyFont="1" applyFill="1" applyBorder="1"/>
    <xf numFmtId="0" fontId="17" fillId="0" borderId="0" xfId="3" applyFont="1" applyFill="1" applyAlignment="1">
      <alignment horizontal="center" vertical="center" wrapText="1"/>
    </xf>
    <xf numFmtId="0" fontId="6" fillId="0" borderId="79" xfId="3" applyFont="1" applyFill="1" applyBorder="1" applyAlignment="1">
      <alignment horizontal="center" vertical="center"/>
    </xf>
    <xf numFmtId="0" fontId="21" fillId="0" borderId="0" xfId="0" applyFont="1"/>
    <xf numFmtId="167" fontId="21" fillId="0" borderId="0" xfId="1" applyNumberFormat="1" applyFont="1"/>
    <xf numFmtId="0" fontId="19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170" fontId="21" fillId="0" borderId="0" xfId="0" applyNumberFormat="1" applyFont="1"/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4" fillId="0" borderId="0" xfId="0" applyFont="1"/>
    <xf numFmtId="167" fontId="21" fillId="0" borderId="3" xfId="1" applyNumberFormat="1" applyFont="1" applyBorder="1"/>
    <xf numFmtId="167" fontId="21" fillId="0" borderId="4" xfId="1" applyNumberFormat="1" applyFont="1" applyBorder="1"/>
    <xf numFmtId="167" fontId="21" fillId="0" borderId="0" xfId="1" applyNumberFormat="1" applyFont="1" applyFill="1" applyBorder="1"/>
    <xf numFmtId="17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167" fontId="21" fillId="0" borderId="0" xfId="1" applyNumberFormat="1" applyFont="1" applyBorder="1"/>
    <xf numFmtId="0" fontId="21" fillId="0" borderId="0" xfId="0" applyFont="1" applyAlignment="1">
      <alignment horizontal="left"/>
    </xf>
    <xf numFmtId="170" fontId="21" fillId="0" borderId="0" xfId="2" applyNumberFormat="1" applyFont="1" applyAlignment="1">
      <alignment horizontal="right"/>
    </xf>
    <xf numFmtId="170" fontId="21" fillId="0" borderId="0" xfId="2" applyNumberFormat="1" applyFont="1"/>
    <xf numFmtId="167" fontId="14" fillId="0" borderId="3" xfId="1" applyNumberFormat="1" applyFont="1" applyBorder="1"/>
    <xf numFmtId="167" fontId="21" fillId="0" borderId="0" xfId="1" applyNumberFormat="1" applyFont="1" applyAlignment="1">
      <alignment horizontal="right"/>
    </xf>
    <xf numFmtId="167" fontId="21" fillId="0" borderId="0" xfId="1" applyNumberFormat="1" applyFont="1" applyAlignment="1"/>
    <xf numFmtId="167" fontId="21" fillId="0" borderId="0" xfId="1" applyNumberFormat="1" applyFont="1" applyAlignment="1">
      <alignment horizontal="left"/>
    </xf>
    <xf numFmtId="167" fontId="21" fillId="0" borderId="3" xfId="1" applyNumberFormat="1" applyFont="1" applyBorder="1" applyAlignment="1"/>
    <xf numFmtId="167" fontId="21" fillId="0" borderId="4" xfId="1" applyNumberFormat="1" applyFont="1" applyBorder="1" applyAlignment="1"/>
    <xf numFmtId="171" fontId="18" fillId="0" borderId="0" xfId="0" applyNumberFormat="1" applyFont="1" applyAlignment="1">
      <alignment horizontal="left"/>
    </xf>
    <xf numFmtId="167" fontId="21" fillId="0" borderId="5" xfId="1" applyNumberFormat="1" applyFont="1" applyBorder="1"/>
    <xf numFmtId="3" fontId="21" fillId="0" borderId="0" xfId="0" applyNumberFormat="1" applyFont="1"/>
    <xf numFmtId="4" fontId="14" fillId="0" borderId="0" xfId="0" applyNumberFormat="1" applyFont="1" applyAlignment="1"/>
    <xf numFmtId="4" fontId="21" fillId="0" borderId="0" xfId="0" applyNumberFormat="1" applyFont="1"/>
    <xf numFmtId="167" fontId="21" fillId="0" borderId="3" xfId="1" applyNumberFormat="1" applyFont="1" applyFill="1" applyBorder="1"/>
    <xf numFmtId="4" fontId="21" fillId="0" borderId="5" xfId="0" applyNumberFormat="1" applyFont="1" applyBorder="1"/>
    <xf numFmtId="4" fontId="21" fillId="0" borderId="0" xfId="0" applyNumberFormat="1" applyFont="1" applyFill="1" applyBorder="1"/>
    <xf numFmtId="0" fontId="22" fillId="0" borderId="0" xfId="0" applyFont="1"/>
    <xf numFmtId="167" fontId="22" fillId="0" borderId="0" xfId="1" applyNumberFormat="1" applyFont="1" applyFill="1" applyBorder="1"/>
    <xf numFmtId="4" fontId="21" fillId="0" borderId="0" xfId="0" applyNumberFormat="1" applyFont="1" applyBorder="1"/>
    <xf numFmtId="2" fontId="18" fillId="0" borderId="0" xfId="0" applyNumberFormat="1" applyFont="1" applyAlignment="1">
      <alignment horizontal="left"/>
    </xf>
    <xf numFmtId="167" fontId="21" fillId="0" borderId="0" xfId="1" applyNumberFormat="1" applyFont="1" applyAlignment="1">
      <alignment horizontal="center"/>
    </xf>
    <xf numFmtId="2" fontId="21" fillId="0" borderId="0" xfId="0" applyNumberFormat="1" applyFont="1"/>
    <xf numFmtId="4" fontId="21" fillId="0" borderId="3" xfId="0" applyNumberFormat="1" applyFont="1" applyBorder="1"/>
    <xf numFmtId="0" fontId="19" fillId="0" borderId="0" xfId="0" applyFont="1" applyAlignment="1">
      <alignment horizontal="left"/>
    </xf>
    <xf numFmtId="4" fontId="21" fillId="0" borderId="4" xfId="0" applyNumberFormat="1" applyFont="1" applyBorder="1"/>
    <xf numFmtId="170" fontId="21" fillId="0" borderId="0" xfId="0" applyNumberFormat="1" applyFont="1" applyAlignment="1">
      <alignment horizontal="left"/>
    </xf>
    <xf numFmtId="170" fontId="21" fillId="0" borderId="0" xfId="0" applyNumberFormat="1" applyFont="1" applyAlignment="1"/>
    <xf numFmtId="170" fontId="14" fillId="0" borderId="0" xfId="0" applyNumberFormat="1" applyFont="1" applyAlignment="1">
      <alignment horizontal="left"/>
    </xf>
    <xf numFmtId="172" fontId="21" fillId="0" borderId="0" xfId="0" applyNumberFormat="1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7" fontId="18" fillId="0" borderId="0" xfId="1" applyNumberFormat="1" applyFont="1"/>
    <xf numFmtId="168" fontId="21" fillId="0" borderId="0" xfId="5" applyNumberFormat="1" applyFont="1"/>
    <xf numFmtId="167" fontId="21" fillId="0" borderId="0" xfId="5" applyNumberFormat="1" applyFont="1"/>
    <xf numFmtId="167" fontId="21" fillId="0" borderId="0" xfId="5" applyNumberFormat="1" applyFont="1" applyFill="1" applyBorder="1"/>
    <xf numFmtId="0" fontId="21" fillId="0" borderId="0" xfId="0" applyFont="1" applyAlignment="1">
      <alignment horizontal="center" vertical="center"/>
    </xf>
    <xf numFmtId="167" fontId="21" fillId="0" borderId="3" xfId="5" applyNumberFormat="1" applyFont="1" applyBorder="1"/>
    <xf numFmtId="175" fontId="26" fillId="0" borderId="0" xfId="0" applyNumberFormat="1" applyFont="1" applyBorder="1" applyAlignment="1" applyProtection="1">
      <alignment vertical="center"/>
    </xf>
    <xf numFmtId="176" fontId="21" fillId="0" borderId="0" xfId="5" applyNumberFormat="1" applyFont="1"/>
    <xf numFmtId="167" fontId="21" fillId="0" borderId="3" xfId="5" applyNumberFormat="1" applyFont="1" applyFill="1" applyBorder="1"/>
    <xf numFmtId="0" fontId="14" fillId="0" borderId="0" xfId="3" applyFont="1" applyBorder="1"/>
    <xf numFmtId="168" fontId="14" fillId="0" borderId="0" xfId="1" applyNumberFormat="1" applyFont="1" applyBorder="1"/>
    <xf numFmtId="0" fontId="14" fillId="0" borderId="0" xfId="3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167" fontId="14" fillId="0" borderId="0" xfId="1" applyNumberFormat="1" applyFont="1" applyBorder="1"/>
    <xf numFmtId="0" fontId="14" fillId="0" borderId="0" xfId="7" applyFont="1" applyBorder="1"/>
    <xf numFmtId="168" fontId="14" fillId="0" borderId="0" xfId="1" applyNumberFormat="1" applyFont="1" applyBorder="1" applyAlignment="1">
      <alignment horizontal="right"/>
    </xf>
    <xf numFmtId="0" fontId="14" fillId="0" borderId="0" xfId="7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4" fillId="0" borderId="0" xfId="0" applyFont="1" applyBorder="1"/>
    <xf numFmtId="0" fontId="21" fillId="0" borderId="0" xfId="0" applyFont="1" applyBorder="1"/>
    <xf numFmtId="170" fontId="1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67" fontId="21" fillId="0" borderId="0" xfId="1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73" fontId="21" fillId="0" borderId="0" xfId="0" applyNumberFormat="1" applyFont="1"/>
    <xf numFmtId="172" fontId="21" fillId="0" borderId="0" xfId="0" applyNumberFormat="1" applyFont="1" applyBorder="1"/>
    <xf numFmtId="0" fontId="21" fillId="0" borderId="0" xfId="0" applyFont="1" applyBorder="1" applyAlignment="1">
      <alignment horizontal="left"/>
    </xf>
    <xf numFmtId="0" fontId="14" fillId="0" borderId="0" xfId="0" applyFont="1" applyAlignment="1"/>
    <xf numFmtId="4" fontId="22" fillId="0" borderId="0" xfId="0" applyNumberFormat="1" applyFont="1"/>
    <xf numFmtId="167" fontId="22" fillId="0" borderId="38" xfId="5" applyNumberFormat="1" applyFont="1" applyFill="1" applyBorder="1"/>
    <xf numFmtId="167" fontId="22" fillId="0" borderId="0" xfId="1" applyNumberFormat="1" applyFont="1"/>
    <xf numFmtId="4" fontId="22" fillId="0" borderId="0" xfId="0" applyNumberFormat="1" applyFont="1" applyBorder="1"/>
    <xf numFmtId="167" fontId="22" fillId="0" borderId="5" xfId="1" applyNumberFormat="1" applyFont="1" applyFill="1" applyBorder="1"/>
    <xf numFmtId="4" fontId="22" fillId="0" borderId="0" xfId="0" applyNumberFormat="1" applyFont="1" applyFill="1" applyBorder="1"/>
    <xf numFmtId="167" fontId="22" fillId="0" borderId="0" xfId="1" applyNumberFormat="1" applyFont="1" applyAlignment="1"/>
    <xf numFmtId="167" fontId="22" fillId="0" borderId="3" xfId="1" applyNumberFormat="1" applyFont="1" applyBorder="1"/>
    <xf numFmtId="174" fontId="6" fillId="0" borderId="24" xfId="4" applyNumberFormat="1" applyFont="1" applyFill="1" applyBorder="1" applyAlignment="1">
      <alignment vertical="center"/>
    </xf>
    <xf numFmtId="0" fontId="4" fillId="0" borderId="22" xfId="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168" fontId="20" fillId="0" borderId="25" xfId="1" applyNumberFormat="1" applyFont="1" applyFill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167" fontId="20" fillId="0" borderId="24" xfId="1" applyNumberFormat="1" applyFont="1" applyBorder="1" applyAlignment="1">
      <alignment vertical="center"/>
    </xf>
    <xf numFmtId="166" fontId="20" fillId="0" borderId="0" xfId="0" applyNumberFormat="1" applyFont="1" applyAlignment="1">
      <alignment vertical="center"/>
    </xf>
    <xf numFmtId="0" fontId="20" fillId="0" borderId="37" xfId="0" applyFont="1" applyBorder="1" applyAlignment="1">
      <alignment horizontal="center" vertical="center"/>
    </xf>
    <xf numFmtId="165" fontId="20" fillId="0" borderId="4" xfId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168" fontId="20" fillId="0" borderId="4" xfId="1" applyNumberFormat="1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167" fontId="20" fillId="0" borderId="2" xfId="1" applyNumberFormat="1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168" fontId="20" fillId="0" borderId="34" xfId="1" applyNumberFormat="1" applyFont="1" applyFill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67" fontId="20" fillId="0" borderId="33" xfId="1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0" fillId="0" borderId="0" xfId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7" fontId="20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8" fontId="20" fillId="0" borderId="0" xfId="1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7" fontId="20" fillId="0" borderId="0" xfId="1" applyNumberFormat="1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165" fontId="20" fillId="0" borderId="3" xfId="1" applyFont="1" applyBorder="1" applyAlignment="1">
      <alignment vertical="center"/>
    </xf>
    <xf numFmtId="167" fontId="20" fillId="0" borderId="3" xfId="1" applyNumberFormat="1" applyFont="1" applyBorder="1" applyAlignment="1">
      <alignment vertical="center"/>
    </xf>
    <xf numFmtId="0" fontId="20" fillId="0" borderId="66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166" fontId="7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3" fillId="0" borderId="0" xfId="3" applyNumberFormat="1" applyFont="1" applyFill="1" applyBorder="1" applyAlignment="1">
      <alignment vertical="center"/>
    </xf>
    <xf numFmtId="0" fontId="4" fillId="0" borderId="0" xfId="3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3" quotePrefix="1" applyFont="1" applyFill="1" applyBorder="1" applyAlignment="1">
      <alignment horizontal="center" vertical="center"/>
    </xf>
    <xf numFmtId="164" fontId="31" fillId="0" borderId="0" xfId="3" applyNumberFormat="1" applyFont="1" applyFill="1" applyBorder="1"/>
    <xf numFmtId="174" fontId="32" fillId="0" borderId="0" xfId="4" applyNumberFormat="1" applyFont="1" applyFill="1" applyBorder="1"/>
    <xf numFmtId="167" fontId="32" fillId="0" borderId="0" xfId="1" applyNumberFormat="1" applyFont="1" applyFill="1" applyBorder="1" applyAlignment="1">
      <alignment vertical="center"/>
    </xf>
    <xf numFmtId="0" fontId="3" fillId="0" borderId="22" xfId="3" applyFont="1" applyFill="1" applyBorder="1" applyAlignment="1">
      <alignment vertical="center"/>
    </xf>
    <xf numFmtId="164" fontId="4" fillId="0" borderId="22" xfId="3" applyNumberFormat="1" applyFont="1" applyFill="1" applyBorder="1" applyAlignment="1">
      <alignment vertical="center"/>
    </xf>
    <xf numFmtId="0" fontId="7" fillId="0" borderId="22" xfId="3" applyFont="1" applyFill="1" applyBorder="1" applyAlignment="1">
      <alignment vertical="center"/>
    </xf>
    <xf numFmtId="164" fontId="6" fillId="0" borderId="22" xfId="3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172" fontId="20" fillId="0" borderId="0" xfId="0" applyNumberFormat="1" applyFont="1" applyBorder="1" applyAlignment="1">
      <alignment vertical="center"/>
    </xf>
    <xf numFmtId="0" fontId="4" fillId="0" borderId="39" xfId="3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vertical="center"/>
    </xf>
    <xf numFmtId="164" fontId="4" fillId="0" borderId="5" xfId="3" applyNumberFormat="1" applyFont="1" applyFill="1" applyBorder="1" applyAlignment="1">
      <alignment vertical="center"/>
    </xf>
    <xf numFmtId="0" fontId="4" fillId="0" borderId="40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3" fillId="0" borderId="0" xfId="0" applyFont="1"/>
    <xf numFmtId="168" fontId="26" fillId="0" borderId="0" xfId="5" applyNumberFormat="1" applyFont="1"/>
    <xf numFmtId="167" fontId="26" fillId="0" borderId="0" xfId="5" applyNumberFormat="1" applyFont="1"/>
    <xf numFmtId="167" fontId="26" fillId="0" borderId="0" xfId="1" applyNumberFormat="1" applyFont="1"/>
    <xf numFmtId="167" fontId="26" fillId="0" borderId="3" xfId="5" applyNumberFormat="1" applyFont="1" applyBorder="1"/>
    <xf numFmtId="167" fontId="26" fillId="0" borderId="0" xfId="5" applyNumberFormat="1" applyFont="1" applyFill="1" applyBorder="1"/>
    <xf numFmtId="176" fontId="26" fillId="0" borderId="0" xfId="5" applyNumberFormat="1" applyFont="1"/>
    <xf numFmtId="167" fontId="26" fillId="0" borderId="3" xfId="5" applyNumberFormat="1" applyFont="1" applyFill="1" applyBorder="1"/>
    <xf numFmtId="0" fontId="26" fillId="0" borderId="0" xfId="0" applyFont="1"/>
    <xf numFmtId="167" fontId="26" fillId="0" borderId="38" xfId="5" applyNumberFormat="1" applyFont="1" applyFill="1" applyBorder="1"/>
    <xf numFmtId="170" fontId="26" fillId="0" borderId="0" xfId="0" applyNumberFormat="1" applyFont="1"/>
    <xf numFmtId="0" fontId="26" fillId="0" borderId="0" xfId="0" applyFont="1" applyAlignment="1">
      <alignment horizontal="center"/>
    </xf>
    <xf numFmtId="3" fontId="26" fillId="0" borderId="0" xfId="0" applyNumberFormat="1" applyFont="1"/>
    <xf numFmtId="167" fontId="26" fillId="0" borderId="0" xfId="1" applyNumberFormat="1" applyFont="1" applyAlignment="1">
      <alignment horizontal="center"/>
    </xf>
    <xf numFmtId="0" fontId="26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 applyAlignment="1">
      <alignment horizontal="right"/>
    </xf>
    <xf numFmtId="2" fontId="26" fillId="0" borderId="0" xfId="0" applyNumberFormat="1" applyFont="1"/>
    <xf numFmtId="4" fontId="26" fillId="0" borderId="3" xfId="0" applyNumberFormat="1" applyFont="1" applyBorder="1"/>
    <xf numFmtId="4" fontId="26" fillId="0" borderId="0" xfId="0" applyNumberFormat="1" applyFont="1" applyBorder="1"/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21" fillId="0" borderId="24" xfId="0" applyFont="1" applyFill="1" applyBorder="1"/>
    <xf numFmtId="167" fontId="22" fillId="0" borderId="25" xfId="1" applyNumberFormat="1" applyFont="1" applyFill="1" applyBorder="1"/>
    <xf numFmtId="0" fontId="36" fillId="0" borderId="0" xfId="3" applyFont="1" applyFill="1" applyAlignment="1">
      <alignment horizontal="center" vertical="center" wrapText="1"/>
    </xf>
    <xf numFmtId="0" fontId="37" fillId="0" borderId="61" xfId="3" applyFont="1" applyFill="1" applyBorder="1" applyAlignment="1">
      <alignment horizontal="center" vertical="center" wrapText="1"/>
    </xf>
    <xf numFmtId="0" fontId="37" fillId="0" borderId="62" xfId="3" applyFont="1" applyFill="1" applyBorder="1" applyAlignment="1">
      <alignment horizontal="center" vertical="center" wrapText="1"/>
    </xf>
    <xf numFmtId="0" fontId="3" fillId="0" borderId="69" xfId="3" applyFont="1" applyFill="1" applyBorder="1" applyAlignment="1">
      <alignment horizontal="center" vertical="center"/>
    </xf>
    <xf numFmtId="0" fontId="3" fillId="0" borderId="78" xfId="3" applyFont="1" applyFill="1" applyBorder="1" applyAlignment="1">
      <alignment horizontal="center" vertical="center"/>
    </xf>
    <xf numFmtId="164" fontId="3" fillId="0" borderId="78" xfId="3" applyNumberFormat="1" applyFont="1" applyFill="1" applyBorder="1" applyAlignment="1">
      <alignment vertical="center"/>
    </xf>
    <xf numFmtId="0" fontId="4" fillId="0" borderId="78" xfId="3" applyFont="1" applyFill="1" applyBorder="1"/>
    <xf numFmtId="164" fontId="3" fillId="0" borderId="75" xfId="3" applyNumberFormat="1" applyFont="1" applyFill="1" applyBorder="1" applyAlignment="1">
      <alignment vertical="center"/>
    </xf>
    <xf numFmtId="0" fontId="4" fillId="0" borderId="70" xfId="3" applyFont="1" applyFill="1" applyBorder="1" applyAlignment="1">
      <alignment horizontal="center" vertical="center"/>
    </xf>
    <xf numFmtId="0" fontId="4" fillId="0" borderId="23" xfId="3" applyFont="1" applyFill="1" applyBorder="1"/>
    <xf numFmtId="0" fontId="4" fillId="0" borderId="83" xfId="3" applyFont="1" applyFill="1" applyBorder="1" applyAlignment="1">
      <alignment horizontal="center" vertical="center"/>
    </xf>
    <xf numFmtId="164" fontId="4" fillId="0" borderId="42" xfId="3" applyNumberFormat="1" applyFont="1" applyFill="1" applyBorder="1" applyAlignment="1">
      <alignment vertical="center"/>
    </xf>
    <xf numFmtId="0" fontId="4" fillId="0" borderId="42" xfId="3" applyFont="1" applyFill="1" applyBorder="1"/>
    <xf numFmtId="164" fontId="4" fillId="0" borderId="43" xfId="3" applyNumberFormat="1" applyFont="1" applyFill="1" applyBorder="1" applyAlignment="1">
      <alignment vertical="center"/>
    </xf>
    <xf numFmtId="0" fontId="4" fillId="0" borderId="84" xfId="3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21" fillId="0" borderId="0" xfId="0" applyFont="1" applyFill="1"/>
    <xf numFmtId="0" fontId="21" fillId="0" borderId="19" xfId="0" applyFont="1" applyFill="1" applyBorder="1"/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18" xfId="0" applyFont="1" applyFill="1" applyBorder="1"/>
    <xf numFmtId="167" fontId="21" fillId="0" borderId="0" xfId="1" applyNumberFormat="1" applyFont="1" applyFill="1"/>
    <xf numFmtId="167" fontId="21" fillId="0" borderId="0" xfId="0" applyNumberFormat="1" applyFont="1" applyFill="1"/>
    <xf numFmtId="165" fontId="21" fillId="0" borderId="0" xfId="1" applyFont="1" applyFill="1"/>
    <xf numFmtId="177" fontId="21" fillId="0" borderId="0" xfId="1" applyNumberFormat="1" applyFont="1" applyFill="1"/>
    <xf numFmtId="167" fontId="22" fillId="0" borderId="0" xfId="1" applyNumberFormat="1" applyFont="1" applyFill="1"/>
    <xf numFmtId="0" fontId="20" fillId="0" borderId="23" xfId="0" applyFont="1" applyBorder="1" applyAlignment="1">
      <alignment horizontal="center" vertical="center"/>
    </xf>
    <xf numFmtId="165" fontId="20" fillId="0" borderId="23" xfId="1" applyFont="1" applyBorder="1" applyAlignment="1">
      <alignment vertical="center"/>
    </xf>
    <xf numFmtId="0" fontId="29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167" fontId="20" fillId="0" borderId="18" xfId="1" applyNumberFormat="1" applyFont="1" applyBorder="1" applyAlignment="1">
      <alignment vertical="center"/>
    </xf>
    <xf numFmtId="0" fontId="38" fillId="0" borderId="0" xfId="0" applyFont="1"/>
    <xf numFmtId="168" fontId="20" fillId="0" borderId="49" xfId="1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0" fontId="20" fillId="0" borderId="81" xfId="0" applyFont="1" applyBorder="1" applyAlignment="1">
      <alignment vertical="center"/>
    </xf>
    <xf numFmtId="0" fontId="20" fillId="0" borderId="82" xfId="0" applyFont="1" applyBorder="1" applyAlignment="1">
      <alignment vertical="center"/>
    </xf>
    <xf numFmtId="170" fontId="20" fillId="0" borderId="0" xfId="0" applyNumberFormat="1" applyFont="1" applyBorder="1" applyAlignment="1">
      <alignment vertical="center"/>
    </xf>
    <xf numFmtId="165" fontId="28" fillId="0" borderId="1" xfId="1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6" fillId="0" borderId="22" xfId="3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/>
    <xf numFmtId="0" fontId="42" fillId="0" borderId="0" xfId="0" applyFont="1" applyBorder="1" applyAlignment="1">
      <alignment vertical="center"/>
    </xf>
    <xf numFmtId="174" fontId="43" fillId="0" borderId="0" xfId="4" applyNumberFormat="1" applyFont="1" applyFill="1" applyBorder="1"/>
    <xf numFmtId="0" fontId="4" fillId="0" borderId="41" xfId="3" applyFont="1" applyFill="1" applyBorder="1" applyAlignment="1">
      <alignment horizontal="center" vertical="center"/>
    </xf>
    <xf numFmtId="0" fontId="44" fillId="0" borderId="0" xfId="3" quotePrefix="1" applyFont="1" applyFill="1" applyAlignment="1">
      <alignment horizontal="center" vertical="center"/>
    </xf>
    <xf numFmtId="0" fontId="44" fillId="0" borderId="0" xfId="3" applyFont="1" applyFill="1" applyAlignment="1">
      <alignment horizontal="center" vertical="center"/>
    </xf>
    <xf numFmtId="166" fontId="6" fillId="0" borderId="0" xfId="3" applyNumberFormat="1" applyFont="1" applyFill="1"/>
    <xf numFmtId="0" fontId="20" fillId="0" borderId="42" xfId="0" applyFont="1" applyBorder="1" applyAlignment="1">
      <alignment vertical="center"/>
    </xf>
    <xf numFmtId="168" fontId="21" fillId="0" borderId="0" xfId="1" applyNumberFormat="1" applyFont="1"/>
    <xf numFmtId="2" fontId="20" fillId="0" borderId="0" xfId="0" applyNumberFormat="1" applyFont="1" applyBorder="1" applyAlignment="1">
      <alignment vertical="center"/>
    </xf>
    <xf numFmtId="2" fontId="45" fillId="0" borderId="0" xfId="0" applyNumberFormat="1" applyFont="1" applyBorder="1" applyAlignment="1">
      <alignment vertical="center"/>
    </xf>
    <xf numFmtId="174" fontId="4" fillId="0" borderId="10" xfId="4" applyNumberFormat="1" applyFont="1" applyFill="1" applyBorder="1"/>
    <xf numFmtId="174" fontId="4" fillId="0" borderId="25" xfId="4" applyNumberFormat="1" applyFont="1" applyFill="1" applyBorder="1"/>
    <xf numFmtId="174" fontId="4" fillId="0" borderId="47" xfId="4" applyNumberFormat="1" applyFont="1" applyFill="1" applyBorder="1"/>
    <xf numFmtId="166" fontId="6" fillId="0" borderId="0" xfId="2" applyFont="1" applyFill="1"/>
    <xf numFmtId="166" fontId="6" fillId="0" borderId="0" xfId="2" applyFont="1" applyFill="1" applyBorder="1"/>
    <xf numFmtId="174" fontId="12" fillId="0" borderId="0" xfId="4" applyNumberFormat="1" applyFont="1" applyFill="1" applyBorder="1"/>
    <xf numFmtId="165" fontId="20" fillId="0" borderId="28" xfId="0" applyNumberFormat="1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67" fontId="20" fillId="0" borderId="57" xfId="1" applyNumberFormat="1" applyFont="1" applyBorder="1" applyAlignment="1">
      <alignment vertical="center"/>
    </xf>
    <xf numFmtId="0" fontId="46" fillId="0" borderId="30" xfId="0" applyFont="1" applyBorder="1" applyAlignment="1">
      <alignment horizontal="center" vertical="center"/>
    </xf>
    <xf numFmtId="168" fontId="46" fillId="0" borderId="25" xfId="1" applyNumberFormat="1" applyFont="1" applyFill="1" applyBorder="1" applyAlignment="1">
      <alignment vertical="center"/>
    </xf>
    <xf numFmtId="0" fontId="46" fillId="0" borderId="22" xfId="0" applyFont="1" applyBorder="1" applyAlignment="1">
      <alignment vertical="center"/>
    </xf>
    <xf numFmtId="167" fontId="46" fillId="0" borderId="24" xfId="1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165" fontId="20" fillId="0" borderId="32" xfId="1" applyFont="1" applyBorder="1" applyAlignment="1">
      <alignment vertical="center"/>
    </xf>
    <xf numFmtId="0" fontId="28" fillId="0" borderId="48" xfId="0" applyFont="1" applyBorder="1" applyAlignment="1">
      <alignment horizontal="center" vertical="center"/>
    </xf>
    <xf numFmtId="165" fontId="28" fillId="0" borderId="4" xfId="1" applyFont="1" applyBorder="1" applyAlignment="1">
      <alignment vertical="center"/>
    </xf>
    <xf numFmtId="167" fontId="20" fillId="0" borderId="4" xfId="1" applyNumberFormat="1" applyFont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165" fontId="20" fillId="0" borderId="19" xfId="1" applyFont="1" applyBorder="1" applyAlignment="1">
      <alignment vertical="center"/>
    </xf>
    <xf numFmtId="168" fontId="20" fillId="0" borderId="19" xfId="1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165" fontId="20" fillId="0" borderId="25" xfId="1" applyFont="1" applyBorder="1" applyAlignment="1">
      <alignment vertical="center"/>
    </xf>
    <xf numFmtId="165" fontId="20" fillId="0" borderId="16" xfId="1" applyFont="1" applyBorder="1" applyAlignment="1">
      <alignment vertical="center"/>
    </xf>
    <xf numFmtId="165" fontId="20" fillId="0" borderId="22" xfId="1" applyFont="1" applyBorder="1" applyAlignment="1">
      <alignment vertical="center"/>
    </xf>
    <xf numFmtId="0" fontId="28" fillId="0" borderId="46" xfId="0" applyFont="1" applyBorder="1" applyAlignment="1">
      <alignment horizontal="center" vertical="center"/>
    </xf>
    <xf numFmtId="165" fontId="28" fillId="0" borderId="5" xfId="1" applyFont="1" applyBorder="1" applyAlignment="1">
      <alignment vertical="center"/>
    </xf>
    <xf numFmtId="168" fontId="20" fillId="0" borderId="42" xfId="1" applyNumberFormat="1" applyFont="1" applyFill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" fillId="0" borderId="24" xfId="3" applyFont="1" applyFill="1" applyBorder="1" applyAlignment="1">
      <alignment vertical="center"/>
    </xf>
    <xf numFmtId="0" fontId="4" fillId="0" borderId="98" xfId="3" applyFont="1" applyFill="1" applyBorder="1" applyAlignment="1">
      <alignment horizontal="center" vertical="center"/>
    </xf>
    <xf numFmtId="0" fontId="3" fillId="0" borderId="32" xfId="3" applyFont="1" applyFill="1" applyBorder="1" applyAlignment="1">
      <alignment vertical="center"/>
    </xf>
    <xf numFmtId="0" fontId="4" fillId="0" borderId="35" xfId="3" applyFont="1" applyFill="1" applyBorder="1" applyAlignment="1">
      <alignment horizontal="center" vertical="center"/>
    </xf>
    <xf numFmtId="0" fontId="3" fillId="0" borderId="37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164" fontId="3" fillId="0" borderId="4" xfId="3" applyNumberFormat="1" applyFont="1" applyFill="1" applyBorder="1" applyAlignment="1">
      <alignment vertical="center"/>
    </xf>
    <xf numFmtId="164" fontId="3" fillId="0" borderId="36" xfId="3" applyNumberFormat="1" applyFont="1" applyFill="1" applyBorder="1" applyAlignment="1">
      <alignment vertical="center"/>
    </xf>
    <xf numFmtId="174" fontId="6" fillId="0" borderId="0" xfId="4" applyNumberFormat="1" applyFont="1" applyFill="1" applyBorder="1"/>
    <xf numFmtId="0" fontId="6" fillId="0" borderId="28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164" fontId="6" fillId="0" borderId="32" xfId="3" applyNumberFormat="1" applyFont="1" applyFill="1" applyBorder="1" applyAlignment="1">
      <alignment vertical="center"/>
    </xf>
    <xf numFmtId="164" fontId="6" fillId="0" borderId="33" xfId="3" applyNumberFormat="1" applyFont="1" applyFill="1" applyBorder="1" applyAlignment="1">
      <alignment vertical="center"/>
    </xf>
    <xf numFmtId="174" fontId="6" fillId="0" borderId="33" xfId="4" applyNumberFormat="1" applyFont="1" applyFill="1" applyBorder="1" applyAlignment="1">
      <alignment vertical="center"/>
    </xf>
    <xf numFmtId="0" fontId="6" fillId="0" borderId="73" xfId="3" applyFont="1" applyFill="1" applyBorder="1" applyAlignment="1">
      <alignment horizontal="center" vertical="center"/>
    </xf>
    <xf numFmtId="164" fontId="6" fillId="0" borderId="28" xfId="3" applyNumberFormat="1" applyFont="1" applyFill="1" applyBorder="1" applyAlignment="1">
      <alignment vertical="center"/>
    </xf>
    <xf numFmtId="0" fontId="6" fillId="0" borderId="28" xfId="3" applyFont="1" applyFill="1" applyBorder="1"/>
    <xf numFmtId="164" fontId="6" fillId="0" borderId="29" xfId="3" applyNumberFormat="1" applyFont="1" applyFill="1" applyBorder="1" applyAlignment="1">
      <alignment vertical="center"/>
    </xf>
    <xf numFmtId="0" fontId="6" fillId="0" borderId="100" xfId="3" applyFont="1" applyFill="1" applyBorder="1" applyAlignment="1">
      <alignment horizontal="center" vertical="center"/>
    </xf>
    <xf numFmtId="0" fontId="48" fillId="0" borderId="0" xfId="0" applyFont="1"/>
    <xf numFmtId="0" fontId="48" fillId="0" borderId="0" xfId="0" applyFont="1" applyAlignment="1">
      <alignment horizontal="center"/>
    </xf>
    <xf numFmtId="178" fontId="48" fillId="0" borderId="0" xfId="0" applyNumberFormat="1" applyFont="1"/>
    <xf numFmtId="165" fontId="48" fillId="0" borderId="0" xfId="1" applyFont="1"/>
    <xf numFmtId="0" fontId="1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0" fillId="0" borderId="33" xfId="1" applyNumberFormat="1" applyFont="1" applyBorder="1" applyAlignment="1">
      <alignment vertical="center"/>
    </xf>
    <xf numFmtId="174" fontId="4" fillId="0" borderId="24" xfId="4" applyNumberFormat="1" applyFont="1" applyFill="1" applyBorder="1" applyAlignment="1">
      <alignment vertical="center"/>
    </xf>
    <xf numFmtId="174" fontId="4" fillId="0" borderId="43" xfId="4" applyNumberFormat="1" applyFont="1" applyFill="1" applyBorder="1" applyAlignment="1">
      <alignment vertical="center"/>
    </xf>
    <xf numFmtId="174" fontId="4" fillId="0" borderId="0" xfId="4" applyNumberFormat="1" applyFont="1" applyFill="1" applyBorder="1" applyAlignment="1">
      <alignment vertical="center"/>
    </xf>
    <xf numFmtId="174" fontId="4" fillId="0" borderId="32" xfId="4" applyNumberFormat="1" applyFont="1" applyFill="1" applyBorder="1" applyAlignment="1">
      <alignment vertical="center"/>
    </xf>
    <xf numFmtId="174" fontId="4" fillId="0" borderId="33" xfId="4" applyNumberFormat="1" applyFont="1" applyFill="1" applyBorder="1" applyAlignment="1">
      <alignment vertical="center"/>
    </xf>
    <xf numFmtId="174" fontId="4" fillId="0" borderId="29" xfId="4" applyNumberFormat="1" applyFont="1" applyFill="1" applyBorder="1" applyAlignment="1">
      <alignment vertical="center"/>
    </xf>
    <xf numFmtId="0" fontId="2" fillId="0" borderId="0" xfId="8"/>
    <xf numFmtId="0" fontId="53" fillId="0" borderId="38" xfId="9" applyFont="1" applyFill="1" applyBorder="1" applyAlignment="1"/>
    <xf numFmtId="0" fontId="54" fillId="0" borderId="50" xfId="9" applyFont="1" applyFill="1" applyBorder="1" applyAlignment="1"/>
    <xf numFmtId="0" fontId="53" fillId="0" borderId="51" xfId="9" applyFont="1" applyFill="1" applyBorder="1" applyAlignment="1"/>
    <xf numFmtId="0" fontId="55" fillId="0" borderId="52" xfId="9" applyFont="1" applyFill="1" applyBorder="1" applyAlignment="1"/>
    <xf numFmtId="0" fontId="4" fillId="0" borderId="0" xfId="9"/>
    <xf numFmtId="0" fontId="56" fillId="0" borderId="0" xfId="9" applyFont="1" applyFill="1" applyBorder="1" applyAlignment="1">
      <alignment vertical="center"/>
    </xf>
    <xf numFmtId="0" fontId="56" fillId="0" borderId="52" xfId="9" applyFont="1" applyFill="1" applyBorder="1" applyAlignment="1">
      <alignment horizontal="center" vertical="center"/>
    </xf>
    <xf numFmtId="166" fontId="56" fillId="0" borderId="0" xfId="10" applyFont="1" applyFill="1" applyBorder="1" applyAlignment="1">
      <alignment vertical="center"/>
    </xf>
    <xf numFmtId="0" fontId="57" fillId="0" borderId="0" xfId="9" applyFont="1" applyFill="1" applyBorder="1" applyAlignment="1">
      <alignment vertical="center"/>
    </xf>
    <xf numFmtId="0" fontId="57" fillId="0" borderId="0" xfId="9" applyNumberFormat="1" applyFont="1" applyFill="1" applyBorder="1" applyAlignment="1">
      <alignment vertical="center"/>
    </xf>
    <xf numFmtId="0" fontId="57" fillId="0" borderId="53" xfId="9" applyFont="1" applyFill="1" applyBorder="1" applyAlignment="1">
      <alignment vertical="center"/>
    </xf>
    <xf numFmtId="0" fontId="56" fillId="0" borderId="0" xfId="9" applyFont="1" applyFill="1" applyAlignment="1">
      <alignment vertical="center"/>
    </xf>
    <xf numFmtId="0" fontId="57" fillId="0" borderId="102" xfId="9" applyFont="1" applyFill="1" applyBorder="1" applyAlignment="1">
      <alignment horizontal="center" vertical="center"/>
    </xf>
    <xf numFmtId="166" fontId="57" fillId="0" borderId="103" xfId="10" applyFont="1" applyFill="1" applyBorder="1" applyAlignment="1">
      <alignment horizontal="center" vertical="center"/>
    </xf>
    <xf numFmtId="0" fontId="57" fillId="0" borderId="107" xfId="9" applyFont="1" applyFill="1" applyBorder="1" applyAlignment="1">
      <alignment horizontal="center" vertical="center"/>
    </xf>
    <xf numFmtId="0" fontId="57" fillId="0" borderId="103" xfId="9" applyFont="1" applyFill="1" applyBorder="1" applyAlignment="1">
      <alignment horizontal="center" vertical="center"/>
    </xf>
    <xf numFmtId="0" fontId="57" fillId="0" borderId="108" xfId="9" applyFont="1" applyFill="1" applyBorder="1" applyAlignment="1">
      <alignment horizontal="center" vertical="center"/>
    </xf>
    <xf numFmtId="0" fontId="57" fillId="0" borderId="109" xfId="9" applyFont="1" applyFill="1" applyBorder="1" applyAlignment="1">
      <alignment horizontal="center" vertical="center"/>
    </xf>
    <xf numFmtId="166" fontId="57" fillId="0" borderId="10" xfId="10" applyFont="1" applyFill="1" applyBorder="1" applyAlignment="1">
      <alignment horizontal="center" vertical="center"/>
    </xf>
    <xf numFmtId="0" fontId="57" fillId="0" borderId="10" xfId="9" applyFont="1" applyFill="1" applyBorder="1" applyAlignment="1">
      <alignment horizontal="center" vertical="center"/>
    </xf>
    <xf numFmtId="0" fontId="57" fillId="0" borderId="56" xfId="9" applyFont="1" applyFill="1" applyBorder="1" applyAlignment="1">
      <alignment horizontal="center" vertical="center"/>
    </xf>
    <xf numFmtId="0" fontId="57" fillId="0" borderId="57" xfId="9" applyFont="1" applyFill="1" applyBorder="1" applyAlignment="1">
      <alignment horizontal="center" vertical="center"/>
    </xf>
    <xf numFmtId="0" fontId="57" fillId="0" borderId="110" xfId="9" applyFont="1" applyFill="1" applyBorder="1" applyAlignment="1">
      <alignment horizontal="center" vertical="center"/>
    </xf>
    <xf numFmtId="0" fontId="57" fillId="0" borderId="111" xfId="9" applyFont="1" applyFill="1" applyBorder="1" applyAlignment="1">
      <alignment horizontal="center" vertical="center"/>
    </xf>
    <xf numFmtId="166" fontId="57" fillId="0" borderId="45" xfId="10" applyFont="1" applyFill="1" applyBorder="1" applyAlignment="1">
      <alignment horizontal="center" vertical="center"/>
    </xf>
    <xf numFmtId="0" fontId="57" fillId="0" borderId="45" xfId="9" applyFont="1" applyFill="1" applyBorder="1" applyAlignment="1">
      <alignment horizontal="center" vertical="center"/>
    </xf>
    <xf numFmtId="0" fontId="57" fillId="0" borderId="94" xfId="9" applyFont="1" applyFill="1" applyBorder="1" applyAlignment="1">
      <alignment horizontal="center" vertical="center"/>
    </xf>
    <xf numFmtId="0" fontId="56" fillId="0" borderId="94" xfId="9" applyFont="1" applyFill="1" applyBorder="1" applyAlignment="1">
      <alignment horizontal="center" vertical="center"/>
    </xf>
    <xf numFmtId="0" fontId="57" fillId="0" borderId="112" xfId="9" applyNumberFormat="1" applyFont="1" applyFill="1" applyBorder="1" applyAlignment="1">
      <alignment horizontal="center" vertical="center"/>
    </xf>
    <xf numFmtId="0" fontId="57" fillId="0" borderId="13" xfId="9" applyFont="1" applyFill="1" applyBorder="1" applyAlignment="1">
      <alignment horizontal="center" vertical="center"/>
    </xf>
    <xf numFmtId="0" fontId="56" fillId="0" borderId="113" xfId="9" applyFont="1" applyFill="1" applyBorder="1" applyAlignment="1">
      <alignment horizontal="center" vertical="center"/>
    </xf>
    <xf numFmtId="0" fontId="56" fillId="0" borderId="13" xfId="9" applyFont="1" applyFill="1" applyBorder="1" applyAlignment="1">
      <alignment horizontal="center" vertical="center"/>
    </xf>
    <xf numFmtId="0" fontId="57" fillId="0" borderId="95" xfId="9" applyFont="1" applyFill="1" applyBorder="1" applyAlignment="1">
      <alignment horizontal="center" vertical="center"/>
    </xf>
    <xf numFmtId="0" fontId="57" fillId="0" borderId="114" xfId="9" quotePrefix="1" applyFont="1" applyFill="1" applyBorder="1" applyAlignment="1">
      <alignment horizontal="center" vertical="center"/>
    </xf>
    <xf numFmtId="0" fontId="57" fillId="0" borderId="115" xfId="9" applyFont="1" applyFill="1" applyBorder="1" applyAlignment="1">
      <alignment horizontal="center" vertical="center"/>
    </xf>
    <xf numFmtId="166" fontId="57" fillId="0" borderId="116" xfId="10" applyFont="1" applyFill="1" applyBorder="1" applyAlignment="1">
      <alignment horizontal="center" vertical="center"/>
    </xf>
    <xf numFmtId="0" fontId="57" fillId="0" borderId="116" xfId="9" applyFont="1" applyFill="1" applyBorder="1" applyAlignment="1">
      <alignment horizontal="center" vertical="center"/>
    </xf>
    <xf numFmtId="0" fontId="57" fillId="0" borderId="117" xfId="9" applyFont="1" applyFill="1" applyBorder="1" applyAlignment="1">
      <alignment horizontal="center" vertical="center"/>
    </xf>
    <xf numFmtId="0" fontId="56" fillId="0" borderId="117" xfId="9" applyFont="1" applyFill="1" applyBorder="1" applyAlignment="1">
      <alignment horizontal="center" vertical="center"/>
    </xf>
    <xf numFmtId="0" fontId="57" fillId="0" borderId="115" xfId="9" applyNumberFormat="1" applyFont="1" applyFill="1" applyBorder="1" applyAlignment="1">
      <alignment horizontal="center" vertical="center"/>
    </xf>
    <xf numFmtId="0" fontId="56" fillId="0" borderId="118" xfId="9" applyFont="1" applyFill="1" applyBorder="1" applyAlignment="1">
      <alignment horizontal="center" vertical="center"/>
    </xf>
    <xf numFmtId="0" fontId="57" fillId="0" borderId="115" xfId="9" applyNumberFormat="1" applyFont="1" applyFill="1" applyBorder="1" applyAlignment="1">
      <alignment vertical="center"/>
    </xf>
    <xf numFmtId="0" fontId="56" fillId="0" borderId="116" xfId="9" applyFont="1" applyFill="1" applyBorder="1" applyAlignment="1">
      <alignment horizontal="center" vertical="center"/>
    </xf>
    <xf numFmtId="0" fontId="57" fillId="0" borderId="119" xfId="9" applyFont="1" applyFill="1" applyBorder="1" applyAlignment="1">
      <alignment horizontal="center" vertical="center"/>
    </xf>
    <xf numFmtId="0" fontId="57" fillId="0" borderId="120" xfId="9" quotePrefix="1" applyFont="1" applyFill="1" applyBorder="1" applyAlignment="1">
      <alignment horizontal="center" vertical="center"/>
    </xf>
    <xf numFmtId="0" fontId="56" fillId="0" borderId="121" xfId="9" applyFont="1" applyFill="1" applyBorder="1" applyAlignment="1">
      <alignment horizontal="center" vertical="center"/>
    </xf>
    <xf numFmtId="166" fontId="56" fillId="0" borderId="25" xfId="10" applyFont="1" applyFill="1" applyBorder="1" applyAlignment="1">
      <alignment vertical="center"/>
    </xf>
    <xf numFmtId="179" fontId="57" fillId="0" borderId="25" xfId="11" applyNumberFormat="1" applyFont="1" applyFill="1" applyBorder="1" applyAlignment="1">
      <alignment vertical="center"/>
    </xf>
    <xf numFmtId="179" fontId="57" fillId="0" borderId="22" xfId="11" applyNumberFormat="1" applyFont="1" applyFill="1" applyBorder="1" applyAlignment="1">
      <alignment vertical="center"/>
    </xf>
    <xf numFmtId="179" fontId="57" fillId="0" borderId="31" xfId="12" applyNumberFormat="1" applyFont="1" applyFill="1" applyBorder="1" applyAlignment="1">
      <alignment vertical="center"/>
    </xf>
    <xf numFmtId="179" fontId="57" fillId="0" borderId="122" xfId="12" quotePrefix="1" applyNumberFormat="1" applyFont="1" applyFill="1" applyBorder="1" applyAlignment="1">
      <alignment horizontal="center" vertical="center"/>
    </xf>
    <xf numFmtId="179" fontId="57" fillId="0" borderId="25" xfId="9" applyNumberFormat="1" applyFont="1" applyFill="1" applyBorder="1" applyAlignment="1">
      <alignment horizontal="center" vertical="center"/>
    </xf>
    <xf numFmtId="179" fontId="56" fillId="0" borderId="123" xfId="12" applyNumberFormat="1" applyFont="1" applyFill="1" applyBorder="1" applyAlignment="1">
      <alignment horizontal="center" vertical="center"/>
    </xf>
    <xf numFmtId="179" fontId="57" fillId="0" borderId="122" xfId="9" quotePrefix="1" applyNumberFormat="1" applyFont="1" applyFill="1" applyBorder="1" applyAlignment="1">
      <alignment vertical="center"/>
    </xf>
    <xf numFmtId="179" fontId="56" fillId="0" borderId="25" xfId="9" applyNumberFormat="1" applyFont="1" applyFill="1" applyBorder="1" applyAlignment="1">
      <alignment horizontal="center" vertical="center"/>
    </xf>
    <xf numFmtId="179" fontId="56" fillId="0" borderId="123" xfId="11" applyNumberFormat="1" applyFont="1" applyFill="1" applyBorder="1" applyAlignment="1">
      <alignment vertical="center"/>
    </xf>
    <xf numFmtId="179" fontId="56" fillId="0" borderId="24" xfId="9" applyNumberFormat="1" applyFont="1" applyFill="1" applyBorder="1" applyAlignment="1">
      <alignment vertical="center"/>
    </xf>
    <xf numFmtId="179" fontId="56" fillId="0" borderId="25" xfId="9" applyNumberFormat="1" applyFont="1" applyFill="1" applyBorder="1" applyAlignment="1">
      <alignment vertical="center"/>
    </xf>
    <xf numFmtId="166" fontId="57" fillId="0" borderId="124" xfId="9" applyNumberFormat="1" applyFont="1" applyFill="1" applyBorder="1" applyAlignment="1">
      <alignment vertical="center"/>
    </xf>
    <xf numFmtId="0" fontId="58" fillId="0" borderId="0" xfId="9" applyFont="1" applyFill="1" applyAlignment="1">
      <alignment vertical="center"/>
    </xf>
    <xf numFmtId="179" fontId="57" fillId="0" borderId="22" xfId="12" applyNumberFormat="1" applyFont="1" applyFill="1" applyBorder="1" applyAlignment="1">
      <alignment vertical="center"/>
    </xf>
    <xf numFmtId="166" fontId="57" fillId="0" borderId="125" xfId="9" applyNumberFormat="1" applyFont="1" applyFill="1" applyBorder="1" applyAlignment="1">
      <alignment vertical="center"/>
    </xf>
    <xf numFmtId="0" fontId="59" fillId="0" borderId="0" xfId="9" applyFont="1"/>
    <xf numFmtId="0" fontId="56" fillId="0" borderId="109" xfId="9" applyFont="1" applyFill="1" applyBorder="1" applyAlignment="1">
      <alignment horizontal="center" vertical="center"/>
    </xf>
    <xf numFmtId="166" fontId="56" fillId="0" borderId="101" xfId="10" applyFont="1" applyFill="1" applyBorder="1" applyAlignment="1">
      <alignment vertical="center"/>
    </xf>
    <xf numFmtId="179" fontId="57" fillId="0" borderId="101" xfId="11" applyNumberFormat="1" applyFont="1" applyFill="1" applyBorder="1" applyAlignment="1">
      <alignment vertical="center"/>
    </xf>
    <xf numFmtId="179" fontId="57" fillId="0" borderId="27" xfId="11" applyNumberFormat="1" applyFont="1" applyFill="1" applyBorder="1" applyAlignment="1">
      <alignment vertical="center"/>
    </xf>
    <xf numFmtId="179" fontId="57" fillId="0" borderId="101" xfId="9" applyNumberFormat="1" applyFont="1" applyFill="1" applyBorder="1" applyAlignment="1">
      <alignment horizontal="center" vertical="center"/>
    </xf>
    <xf numFmtId="179" fontId="57" fillId="0" borderId="126" xfId="9" quotePrefix="1" applyNumberFormat="1" applyFont="1" applyFill="1" applyBorder="1" applyAlignment="1">
      <alignment vertical="center"/>
    </xf>
    <xf numFmtId="179" fontId="56" fillId="0" borderId="101" xfId="9" applyNumberFormat="1" applyFont="1" applyFill="1" applyBorder="1" applyAlignment="1">
      <alignment horizontal="center" vertical="center"/>
    </xf>
    <xf numFmtId="179" fontId="56" fillId="0" borderId="127" xfId="11" applyNumberFormat="1" applyFont="1" applyFill="1" applyBorder="1" applyAlignment="1">
      <alignment vertical="center"/>
    </xf>
    <xf numFmtId="179" fontId="56" fillId="0" borderId="29" xfId="9" applyNumberFormat="1" applyFont="1" applyFill="1" applyBorder="1" applyAlignment="1">
      <alignment vertical="center"/>
    </xf>
    <xf numFmtId="179" fontId="56" fillId="0" borderId="101" xfId="9" applyNumberFormat="1" applyFont="1" applyFill="1" applyBorder="1" applyAlignment="1">
      <alignment vertical="center"/>
    </xf>
    <xf numFmtId="166" fontId="57" fillId="0" borderId="128" xfId="9" applyNumberFormat="1" applyFont="1" applyFill="1" applyBorder="1" applyAlignment="1">
      <alignment vertical="center"/>
    </xf>
    <xf numFmtId="166" fontId="56" fillId="0" borderId="34" xfId="10" applyFont="1" applyFill="1" applyBorder="1" applyAlignment="1">
      <alignment vertical="center"/>
    </xf>
    <xf numFmtId="179" fontId="57" fillId="0" borderId="34" xfId="11" applyNumberFormat="1" applyFont="1" applyFill="1" applyBorder="1" applyAlignment="1">
      <alignment vertical="center"/>
    </xf>
    <xf numFmtId="179" fontId="57" fillId="0" borderId="31" xfId="11" applyNumberFormat="1" applyFont="1" applyFill="1" applyBorder="1" applyAlignment="1">
      <alignment vertical="center"/>
    </xf>
    <xf numFmtId="179" fontId="57" fillId="0" borderId="34" xfId="9" applyNumberFormat="1" applyFont="1" applyFill="1" applyBorder="1" applyAlignment="1">
      <alignment horizontal="center" vertical="center"/>
    </xf>
    <xf numFmtId="179" fontId="56" fillId="0" borderId="130" xfId="12" applyNumberFormat="1" applyFont="1" applyFill="1" applyBorder="1" applyAlignment="1">
      <alignment horizontal="center" vertical="center"/>
    </xf>
    <xf numFmtId="179" fontId="56" fillId="0" borderId="34" xfId="9" applyNumberFormat="1" applyFont="1" applyFill="1" applyBorder="1" applyAlignment="1">
      <alignment horizontal="center" vertical="center"/>
    </xf>
    <xf numFmtId="179" fontId="56" fillId="0" borderId="130" xfId="11" applyNumberFormat="1" applyFont="1" applyFill="1" applyBorder="1" applyAlignment="1">
      <alignment vertical="center"/>
    </xf>
    <xf numFmtId="179" fontId="56" fillId="0" borderId="33" xfId="9" applyNumberFormat="1" applyFont="1" applyFill="1" applyBorder="1" applyAlignment="1">
      <alignment vertical="center"/>
    </xf>
    <xf numFmtId="179" fontId="56" fillId="0" borderId="34" xfId="9" applyNumberFormat="1" applyFont="1" applyFill="1" applyBorder="1" applyAlignment="1">
      <alignment vertical="center"/>
    </xf>
    <xf numFmtId="0" fontId="56" fillId="0" borderId="126" xfId="9" applyFont="1" applyFill="1" applyBorder="1" applyAlignment="1">
      <alignment horizontal="center" vertical="center"/>
    </xf>
    <xf numFmtId="179" fontId="57" fillId="0" borderId="126" xfId="9" applyNumberFormat="1" applyFont="1" applyFill="1" applyBorder="1" applyAlignment="1">
      <alignment horizontal="center" vertical="center"/>
    </xf>
    <xf numFmtId="179" fontId="56" fillId="0" borderId="127" xfId="9" applyNumberFormat="1" applyFont="1" applyFill="1" applyBorder="1" applyAlignment="1">
      <alignment horizontal="center" vertical="center"/>
    </xf>
    <xf numFmtId="179" fontId="57" fillId="0" borderId="103" xfId="9" applyNumberFormat="1" applyFont="1" applyFill="1" applyBorder="1" applyAlignment="1">
      <alignment horizontal="center" vertical="center"/>
    </xf>
    <xf numFmtId="179" fontId="57" fillId="0" borderId="131" xfId="9" applyNumberFormat="1" applyFont="1" applyFill="1" applyBorder="1" applyAlignment="1">
      <alignment horizontal="center" vertical="center"/>
    </xf>
    <xf numFmtId="179" fontId="56" fillId="0" borderId="131" xfId="9" applyNumberFormat="1" applyFont="1" applyFill="1" applyBorder="1" applyAlignment="1">
      <alignment horizontal="center" vertical="center"/>
    </xf>
    <xf numFmtId="179" fontId="57" fillId="0" borderId="102" xfId="9" applyNumberFormat="1" applyFont="1" applyFill="1" applyBorder="1" applyAlignment="1">
      <alignment horizontal="center" vertical="center"/>
    </xf>
    <xf numFmtId="179" fontId="56" fillId="0" borderId="132" xfId="9" applyNumberFormat="1" applyFont="1" applyFill="1" applyBorder="1" applyAlignment="1">
      <alignment horizontal="center" vertical="center"/>
    </xf>
    <xf numFmtId="179" fontId="57" fillId="0" borderId="102" xfId="9" applyNumberFormat="1" applyFont="1" applyFill="1" applyBorder="1" applyAlignment="1">
      <alignment vertical="center"/>
    </xf>
    <xf numFmtId="179" fontId="56" fillId="0" borderId="103" xfId="9" applyNumberFormat="1" applyFont="1" applyFill="1" applyBorder="1" applyAlignment="1">
      <alignment horizontal="center" vertical="center"/>
    </xf>
    <xf numFmtId="179" fontId="57" fillId="0" borderId="107" xfId="9" applyNumberFormat="1" applyFont="1" applyFill="1" applyBorder="1" applyAlignment="1">
      <alignment horizontal="center" vertical="center"/>
    </xf>
    <xf numFmtId="0" fontId="57" fillId="0" borderId="108" xfId="9" quotePrefix="1" applyFont="1" applyFill="1" applyBorder="1" applyAlignment="1">
      <alignment horizontal="center" vertical="center"/>
    </xf>
    <xf numFmtId="0" fontId="56" fillId="0" borderId="52" xfId="9" applyFont="1" applyFill="1" applyBorder="1" applyAlignment="1">
      <alignment vertical="center"/>
    </xf>
    <xf numFmtId="0" fontId="57" fillId="0" borderId="133" xfId="9" applyFont="1" applyFill="1" applyBorder="1" applyAlignment="1">
      <alignment horizontal="center" vertical="center"/>
    </xf>
    <xf numFmtId="166" fontId="57" fillId="0" borderId="134" xfId="10" applyFont="1" applyFill="1" applyBorder="1" applyAlignment="1">
      <alignment horizontal="center" vertical="center"/>
    </xf>
    <xf numFmtId="179" fontId="57" fillId="0" borderId="134" xfId="9" applyNumberFormat="1" applyFont="1" applyFill="1" applyBorder="1" applyAlignment="1">
      <alignment horizontal="center" vertical="center"/>
    </xf>
    <xf numFmtId="179" fontId="57" fillId="0" borderId="92" xfId="9" applyNumberFormat="1" applyFont="1" applyFill="1" applyBorder="1" applyAlignment="1">
      <alignment horizontal="center" vertical="center"/>
    </xf>
    <xf numFmtId="179" fontId="56" fillId="0" borderId="92" xfId="9" applyNumberFormat="1" applyFont="1" applyFill="1" applyBorder="1" applyAlignment="1">
      <alignment horizontal="center" vertical="center"/>
    </xf>
    <xf numFmtId="179" fontId="57" fillId="0" borderId="133" xfId="9" applyNumberFormat="1" applyFont="1" applyFill="1" applyBorder="1" applyAlignment="1">
      <alignment horizontal="center" vertical="center"/>
    </xf>
    <xf numFmtId="179" fontId="56" fillId="0" borderId="135" xfId="9" applyNumberFormat="1" applyFont="1" applyFill="1" applyBorder="1" applyAlignment="1">
      <alignment horizontal="center" vertical="center"/>
    </xf>
    <xf numFmtId="179" fontId="57" fillId="0" borderId="133" xfId="9" applyNumberFormat="1" applyFont="1" applyFill="1" applyBorder="1" applyAlignment="1">
      <alignment vertical="center"/>
    </xf>
    <xf numFmtId="179" fontId="56" fillId="0" borderId="134" xfId="9" applyNumberFormat="1" applyFont="1" applyFill="1" applyBorder="1" applyAlignment="1">
      <alignment horizontal="center" vertical="center"/>
    </xf>
    <xf numFmtId="179" fontId="57" fillId="0" borderId="90" xfId="9" applyNumberFormat="1" applyFont="1" applyFill="1" applyBorder="1" applyAlignment="1">
      <alignment horizontal="center" vertical="center"/>
    </xf>
    <xf numFmtId="0" fontId="57" fillId="0" borderId="136" xfId="9" quotePrefix="1" applyFont="1" applyFill="1" applyBorder="1" applyAlignment="1">
      <alignment horizontal="center" vertical="center"/>
    </xf>
    <xf numFmtId="166" fontId="56" fillId="0" borderId="34" xfId="10" applyFont="1" applyFill="1" applyBorder="1" applyAlignment="1">
      <alignment horizontal="left" vertical="center"/>
    </xf>
    <xf numFmtId="179" fontId="57" fillId="0" borderId="130" xfId="12" applyNumberFormat="1" applyFont="1" applyFill="1" applyBorder="1" applyAlignment="1">
      <alignment vertical="center"/>
    </xf>
    <xf numFmtId="166" fontId="57" fillId="0" borderId="110" xfId="9" applyNumberFormat="1" applyFont="1" applyFill="1" applyBorder="1" applyAlignment="1">
      <alignment vertical="center"/>
    </xf>
    <xf numFmtId="0" fontId="57" fillId="0" borderId="137" xfId="9" applyFont="1" applyFill="1" applyBorder="1" applyAlignment="1">
      <alignment horizontal="center" vertical="center"/>
    </xf>
    <xf numFmtId="166" fontId="56" fillId="0" borderId="138" xfId="10" applyFont="1" applyFill="1" applyBorder="1" applyAlignment="1">
      <alignment horizontal="left" vertical="center"/>
    </xf>
    <xf numFmtId="179" fontId="57" fillId="0" borderId="138" xfId="10" applyNumberFormat="1" applyFont="1" applyFill="1" applyBorder="1" applyAlignment="1">
      <alignment horizontal="center" vertical="center"/>
    </xf>
    <xf numFmtId="179" fontId="57" fillId="0" borderId="93" xfId="11" applyNumberFormat="1" applyFont="1" applyFill="1" applyBorder="1" applyAlignment="1">
      <alignment vertical="center"/>
    </xf>
    <xf numFmtId="179" fontId="57" fillId="0" borderId="93" xfId="10" applyNumberFormat="1" applyFont="1" applyFill="1" applyBorder="1" applyAlignment="1">
      <alignment vertical="center"/>
    </xf>
    <xf numFmtId="179" fontId="57" fillId="0" borderId="93" xfId="12" applyNumberFormat="1" applyFont="1" applyFill="1" applyBorder="1" applyAlignment="1">
      <alignment vertical="center"/>
    </xf>
    <xf numFmtId="179" fontId="57" fillId="0" borderId="137" xfId="9" quotePrefix="1" applyNumberFormat="1" applyFont="1" applyFill="1" applyBorder="1" applyAlignment="1">
      <alignment horizontal="center" vertical="center"/>
    </xf>
    <xf numFmtId="179" fontId="57" fillId="0" borderId="138" xfId="9" applyNumberFormat="1" applyFont="1" applyFill="1" applyBorder="1" applyAlignment="1">
      <alignment horizontal="center" vertical="center"/>
    </xf>
    <xf numFmtId="179" fontId="56" fillId="0" borderId="139" xfId="9" applyNumberFormat="1" applyFont="1" applyFill="1" applyBorder="1" applyAlignment="1">
      <alignment horizontal="center" vertical="center"/>
    </xf>
    <xf numFmtId="179" fontId="57" fillId="0" borderId="137" xfId="9" quotePrefix="1" applyNumberFormat="1" applyFont="1" applyFill="1" applyBorder="1" applyAlignment="1">
      <alignment vertical="center"/>
    </xf>
    <xf numFmtId="179" fontId="56" fillId="0" borderId="138" xfId="9" applyNumberFormat="1" applyFont="1" applyFill="1" applyBorder="1" applyAlignment="1">
      <alignment horizontal="center" vertical="center"/>
    </xf>
    <xf numFmtId="179" fontId="56" fillId="0" borderId="139" xfId="11" applyNumberFormat="1" applyFont="1" applyFill="1" applyBorder="1" applyAlignment="1">
      <alignment vertical="center"/>
    </xf>
    <xf numFmtId="179" fontId="56" fillId="0" borderId="91" xfId="9" applyNumberFormat="1" applyFont="1" applyFill="1" applyBorder="1" applyAlignment="1">
      <alignment vertical="center"/>
    </xf>
    <xf numFmtId="179" fontId="56" fillId="0" borderId="138" xfId="9" applyNumberFormat="1" applyFont="1" applyFill="1" applyBorder="1" applyAlignment="1">
      <alignment vertical="center"/>
    </xf>
    <xf numFmtId="166" fontId="57" fillId="0" borderId="140" xfId="9" applyNumberFormat="1" applyFont="1" applyFill="1" applyBorder="1" applyAlignment="1">
      <alignment vertical="center"/>
    </xf>
    <xf numFmtId="179" fontId="57" fillId="0" borderId="116" xfId="9" applyNumberFormat="1" applyFont="1" applyFill="1" applyBorder="1" applyAlignment="1">
      <alignment horizontal="center" vertical="center"/>
    </xf>
    <xf numFmtId="179" fontId="57" fillId="0" borderId="117" xfId="9" applyNumberFormat="1" applyFont="1" applyFill="1" applyBorder="1" applyAlignment="1">
      <alignment horizontal="center" vertical="center"/>
    </xf>
    <xf numFmtId="179" fontId="56" fillId="0" borderId="117" xfId="9" applyNumberFormat="1" applyFont="1" applyFill="1" applyBorder="1" applyAlignment="1">
      <alignment horizontal="center" vertical="center"/>
    </xf>
    <xf numFmtId="179" fontId="57" fillId="0" borderId="115" xfId="9" applyNumberFormat="1" applyFont="1" applyFill="1" applyBorder="1" applyAlignment="1">
      <alignment horizontal="center" vertical="center"/>
    </xf>
    <xf numFmtId="179" fontId="56" fillId="0" borderId="118" xfId="9" applyNumberFormat="1" applyFont="1" applyFill="1" applyBorder="1" applyAlignment="1">
      <alignment horizontal="center" vertical="center"/>
    </xf>
    <xf numFmtId="179" fontId="57" fillId="0" borderId="115" xfId="9" applyNumberFormat="1" applyFont="1" applyFill="1" applyBorder="1" applyAlignment="1">
      <alignment vertical="center"/>
    </xf>
    <xf numFmtId="179" fontId="56" fillId="0" borderId="116" xfId="9" applyNumberFormat="1" applyFont="1" applyFill="1" applyBorder="1" applyAlignment="1">
      <alignment horizontal="center" vertical="center"/>
    </xf>
    <xf numFmtId="179" fontId="57" fillId="0" borderId="119" xfId="9" applyNumberFormat="1" applyFont="1" applyFill="1" applyBorder="1" applyAlignment="1">
      <alignment horizontal="center" vertical="center"/>
    </xf>
    <xf numFmtId="0" fontId="56" fillId="0" borderId="133" xfId="9" applyFont="1" applyFill="1" applyBorder="1" applyAlignment="1">
      <alignment horizontal="center" vertical="center"/>
    </xf>
    <xf numFmtId="166" fontId="56" fillId="0" borderId="134" xfId="10" applyFont="1" applyFill="1" applyBorder="1" applyAlignment="1">
      <alignment vertical="center"/>
    </xf>
    <xf numFmtId="179" fontId="57" fillId="0" borderId="122" xfId="9" quotePrefix="1" applyNumberFormat="1" applyFont="1" applyFill="1" applyBorder="1" applyAlignment="1">
      <alignment horizontal="center" vertical="center"/>
    </xf>
    <xf numFmtId="179" fontId="56" fillId="0" borderId="123" xfId="9" applyNumberFormat="1" applyFont="1" applyFill="1" applyBorder="1" applyAlignment="1">
      <alignment horizontal="center" vertical="center"/>
    </xf>
    <xf numFmtId="179" fontId="56" fillId="0" borderId="123" xfId="9" applyNumberFormat="1" applyFont="1" applyFill="1" applyBorder="1" applyAlignment="1">
      <alignment horizontal="right" vertical="center"/>
    </xf>
    <xf numFmtId="0" fontId="4" fillId="0" borderId="0" xfId="9" applyFill="1"/>
    <xf numFmtId="0" fontId="56" fillId="0" borderId="111" xfId="9" applyFont="1" applyFill="1" applyBorder="1" applyAlignment="1">
      <alignment horizontal="center" vertical="center"/>
    </xf>
    <xf numFmtId="166" fontId="56" fillId="0" borderId="138" xfId="10" applyFont="1" applyFill="1" applyBorder="1" applyAlignment="1">
      <alignment vertical="center"/>
    </xf>
    <xf numFmtId="179" fontId="57" fillId="0" borderId="138" xfId="11" applyNumberFormat="1" applyFont="1" applyFill="1" applyBorder="1" applyAlignment="1">
      <alignment vertical="center"/>
    </xf>
    <xf numFmtId="0" fontId="4" fillId="0" borderId="0" xfId="9" applyAlignment="1">
      <alignment vertical="center"/>
    </xf>
    <xf numFmtId="0" fontId="4" fillId="0" borderId="38" xfId="9" applyBorder="1"/>
    <xf numFmtId="0" fontId="4" fillId="0" borderId="58" xfId="9" applyBorder="1"/>
    <xf numFmtId="0" fontId="4" fillId="0" borderId="59" xfId="9" applyBorder="1"/>
    <xf numFmtId="0" fontId="4" fillId="0" borderId="60" xfId="9" applyBorder="1"/>
    <xf numFmtId="0" fontId="4" fillId="0" borderId="0" xfId="9" applyBorder="1"/>
    <xf numFmtId="0" fontId="57" fillId="0" borderId="58" xfId="9" applyFont="1" applyFill="1" applyBorder="1" applyAlignment="1">
      <alignment vertical="center"/>
    </xf>
    <xf numFmtId="0" fontId="57" fillId="0" borderId="59" xfId="9" applyFont="1" applyFill="1" applyBorder="1" applyAlignment="1">
      <alignment vertical="center"/>
    </xf>
    <xf numFmtId="166" fontId="56" fillId="0" borderId="59" xfId="10" applyFont="1" applyFill="1" applyBorder="1" applyAlignment="1">
      <alignment vertical="center"/>
    </xf>
    <xf numFmtId="179" fontId="57" fillId="0" borderId="60" xfId="10" applyNumberFormat="1" applyFont="1" applyFill="1" applyBorder="1" applyAlignment="1">
      <alignment horizontal="center" vertical="center"/>
    </xf>
    <xf numFmtId="0" fontId="57" fillId="0" borderId="143" xfId="9" applyFont="1" applyFill="1" applyBorder="1" applyAlignment="1">
      <alignment horizontal="center" vertical="center"/>
    </xf>
    <xf numFmtId="0" fontId="56" fillId="0" borderId="145" xfId="9" applyFont="1" applyFill="1" applyBorder="1" applyAlignment="1">
      <alignment horizontal="center" vertical="center"/>
    </xf>
    <xf numFmtId="0" fontId="57" fillId="0" borderId="129" xfId="9" applyFont="1" applyFill="1" applyBorder="1" applyAlignment="1">
      <alignment horizontal="center" vertical="center"/>
    </xf>
    <xf numFmtId="0" fontId="57" fillId="0" borderId="64" xfId="9" applyFont="1" applyFill="1" applyBorder="1" applyAlignment="1">
      <alignment horizontal="center" vertical="center" wrapText="1"/>
    </xf>
    <xf numFmtId="0" fontId="57" fillId="0" borderId="64" xfId="9" applyFont="1" applyFill="1" applyBorder="1" applyAlignment="1">
      <alignment horizontal="center" vertical="center"/>
    </xf>
    <xf numFmtId="166" fontId="57" fillId="0" borderId="25" xfId="11" applyFont="1" applyFill="1" applyBorder="1" applyAlignment="1">
      <alignment vertical="center"/>
    </xf>
    <xf numFmtId="166" fontId="57" fillId="0" borderId="22" xfId="11" applyFont="1" applyFill="1" applyBorder="1" applyAlignment="1">
      <alignment vertical="center"/>
    </xf>
    <xf numFmtId="167" fontId="57" fillId="0" borderId="123" xfId="12" applyNumberFormat="1" applyFont="1" applyFill="1" applyBorder="1" applyAlignment="1">
      <alignment vertical="center"/>
    </xf>
    <xf numFmtId="179" fontId="57" fillId="0" borderId="122" xfId="10" applyNumberFormat="1" applyFont="1" applyFill="1" applyBorder="1" applyAlignment="1">
      <alignment vertical="center"/>
    </xf>
    <xf numFmtId="179" fontId="57" fillId="0" borderId="25" xfId="10" applyNumberFormat="1" applyFont="1" applyFill="1" applyBorder="1" applyAlignment="1">
      <alignment vertical="center"/>
    </xf>
    <xf numFmtId="179" fontId="56" fillId="0" borderId="25" xfId="10" applyNumberFormat="1" applyFont="1" applyFill="1" applyBorder="1" applyAlignment="1">
      <alignment vertical="center"/>
    </xf>
    <xf numFmtId="179" fontId="57" fillId="0" borderId="130" xfId="10" applyNumberFormat="1" applyFont="1" applyFill="1" applyBorder="1" applyAlignment="1">
      <alignment horizontal="center" vertical="center"/>
    </xf>
    <xf numFmtId="179" fontId="57" fillId="0" borderId="123" xfId="12" applyNumberFormat="1" applyFont="1" applyFill="1" applyBorder="1" applyAlignment="1">
      <alignment vertical="center"/>
    </xf>
    <xf numFmtId="0" fontId="4" fillId="0" borderId="0" xfId="9" applyFont="1" applyFill="1" applyBorder="1"/>
    <xf numFmtId="179" fontId="57" fillId="0" borderId="123" xfId="10" applyNumberFormat="1" applyFont="1" applyFill="1" applyBorder="1" applyAlignment="1">
      <alignment horizontal="center" vertical="center"/>
    </xf>
    <xf numFmtId="179" fontId="57" fillId="0" borderId="126" xfId="10" applyNumberFormat="1" applyFont="1" applyFill="1" applyBorder="1" applyAlignment="1">
      <alignment vertical="center"/>
    </xf>
    <xf numFmtId="179" fontId="57" fillId="0" borderId="101" xfId="10" applyNumberFormat="1" applyFont="1" applyFill="1" applyBorder="1" applyAlignment="1">
      <alignment vertical="center"/>
    </xf>
    <xf numFmtId="179" fontId="56" fillId="0" borderId="101" xfId="10" applyNumberFormat="1" applyFont="1" applyFill="1" applyBorder="1" applyAlignment="1">
      <alignment vertical="center"/>
    </xf>
    <xf numFmtId="179" fontId="57" fillId="0" borderId="127" xfId="10" applyNumberFormat="1" applyFont="1" applyFill="1" applyBorder="1" applyAlignment="1">
      <alignment horizontal="center" vertical="center"/>
    </xf>
    <xf numFmtId="179" fontId="57" fillId="0" borderId="121" xfId="10" applyNumberFormat="1" applyFont="1" applyFill="1" applyBorder="1" applyAlignment="1">
      <alignment vertical="center"/>
    </xf>
    <xf numFmtId="179" fontId="57" fillId="0" borderId="34" xfId="10" applyNumberFormat="1" applyFont="1" applyFill="1" applyBorder="1" applyAlignment="1">
      <alignment vertical="center"/>
    </xf>
    <xf numFmtId="179" fontId="56" fillId="0" borderId="34" xfId="10" applyNumberFormat="1" applyFont="1" applyFill="1" applyBorder="1" applyAlignment="1">
      <alignment vertical="center"/>
    </xf>
    <xf numFmtId="179" fontId="57" fillId="0" borderId="127" xfId="11" applyNumberFormat="1" applyFont="1" applyFill="1" applyBorder="1" applyAlignment="1">
      <alignment vertical="center"/>
    </xf>
    <xf numFmtId="0" fontId="4" fillId="0" borderId="110" xfId="9" applyFont="1" applyFill="1" applyBorder="1"/>
    <xf numFmtId="0" fontId="57" fillId="0" borderId="121" xfId="9" applyFont="1" applyFill="1" applyBorder="1" applyAlignment="1">
      <alignment horizontal="center" vertical="center"/>
    </xf>
    <xf numFmtId="166" fontId="57" fillId="0" borderId="34" xfId="10" applyFont="1" applyFill="1" applyBorder="1" applyAlignment="1">
      <alignment horizontal="center" vertical="center"/>
    </xf>
    <xf numFmtId="179" fontId="57" fillId="0" borderId="31" xfId="9" applyNumberFormat="1" applyFont="1" applyFill="1" applyBorder="1" applyAlignment="1">
      <alignment horizontal="center" vertical="center"/>
    </xf>
    <xf numFmtId="179" fontId="56" fillId="0" borderId="130" xfId="9" applyNumberFormat="1" applyFont="1" applyFill="1" applyBorder="1" applyAlignment="1">
      <alignment horizontal="center" vertical="center"/>
    </xf>
    <xf numFmtId="179" fontId="57" fillId="0" borderId="149" xfId="10" applyNumberFormat="1" applyFont="1" applyFill="1" applyBorder="1" applyAlignment="1">
      <alignment vertical="center"/>
    </xf>
    <xf numFmtId="179" fontId="57" fillId="0" borderId="32" xfId="10" applyNumberFormat="1" applyFont="1" applyFill="1" applyBorder="1" applyAlignment="1">
      <alignment vertical="center"/>
    </xf>
    <xf numFmtId="179" fontId="56" fillId="0" borderId="32" xfId="10" applyNumberFormat="1" applyFont="1" applyFill="1" applyBorder="1" applyAlignment="1">
      <alignment vertical="center"/>
    </xf>
    <xf numFmtId="179" fontId="57" fillId="0" borderId="150" xfId="10" applyNumberFormat="1" applyFont="1" applyFill="1" applyBorder="1" applyAlignment="1">
      <alignment horizontal="center" vertical="center"/>
    </xf>
    <xf numFmtId="179" fontId="57" fillId="0" borderId="143" xfId="10" applyNumberFormat="1" applyFont="1" applyFill="1" applyBorder="1" applyAlignment="1">
      <alignment horizontal="center" vertical="center"/>
    </xf>
    <xf numFmtId="0" fontId="57" fillId="0" borderId="122" xfId="9" applyFont="1" applyFill="1" applyBorder="1" applyAlignment="1">
      <alignment horizontal="center" vertical="center"/>
    </xf>
    <xf numFmtId="166" fontId="56" fillId="0" borderId="25" xfId="10" applyFont="1" applyFill="1" applyBorder="1" applyAlignment="1">
      <alignment horizontal="left" vertical="center"/>
    </xf>
    <xf numFmtId="179" fontId="57" fillId="0" borderId="137" xfId="10" applyNumberFormat="1" applyFont="1" applyFill="1" applyBorder="1" applyAlignment="1">
      <alignment vertical="center"/>
    </xf>
    <xf numFmtId="179" fontId="57" fillId="0" borderId="138" xfId="10" applyNumberFormat="1" applyFont="1" applyFill="1" applyBorder="1" applyAlignment="1">
      <alignment vertical="center"/>
    </xf>
    <xf numFmtId="179" fontId="56" fillId="0" borderId="138" xfId="10" applyNumberFormat="1" applyFont="1" applyFill="1" applyBorder="1" applyAlignment="1">
      <alignment vertical="center"/>
    </xf>
    <xf numFmtId="179" fontId="57" fillId="0" borderId="139" xfId="10" applyNumberFormat="1" applyFont="1" applyFill="1" applyBorder="1" applyAlignment="1">
      <alignment horizontal="center" vertical="center"/>
    </xf>
    <xf numFmtId="179" fontId="57" fillId="0" borderId="102" xfId="10" applyNumberFormat="1" applyFont="1" applyFill="1" applyBorder="1" applyAlignment="1">
      <alignment vertical="center"/>
    </xf>
    <xf numFmtId="179" fontId="57" fillId="0" borderId="103" xfId="10" applyNumberFormat="1" applyFont="1" applyFill="1" applyBorder="1" applyAlignment="1">
      <alignment vertical="center"/>
    </xf>
    <xf numFmtId="179" fontId="57" fillId="0" borderId="127" xfId="12" applyNumberFormat="1" applyFont="1" applyFill="1" applyBorder="1" applyAlignment="1">
      <alignment vertical="center"/>
    </xf>
    <xf numFmtId="166" fontId="57" fillId="0" borderId="138" xfId="10" applyFont="1" applyFill="1" applyBorder="1" applyAlignment="1">
      <alignment horizontal="center" vertical="center"/>
    </xf>
    <xf numFmtId="179" fontId="57" fillId="0" borderId="93" xfId="9" applyNumberFormat="1" applyFont="1" applyFill="1" applyBorder="1" applyAlignment="1">
      <alignment horizontal="center" vertical="center"/>
    </xf>
    <xf numFmtId="0" fontId="62" fillId="0" borderId="0" xfId="9" applyFont="1" applyFill="1"/>
    <xf numFmtId="0" fontId="63" fillId="0" borderId="0" xfId="13" applyFont="1" applyFill="1" applyAlignment="1">
      <alignment vertical="center"/>
    </xf>
    <xf numFmtId="0" fontId="63" fillId="0" borderId="0" xfId="13" applyFont="1" applyFill="1" applyAlignment="1">
      <alignment horizontal="right" vertical="center"/>
    </xf>
    <xf numFmtId="0" fontId="65" fillId="0" borderId="154" xfId="14" applyFont="1" applyFill="1" applyBorder="1" applyAlignment="1">
      <alignment horizontal="center" vertical="center"/>
    </xf>
    <xf numFmtId="0" fontId="65" fillId="0" borderId="86" xfId="14" applyFont="1" applyFill="1" applyBorder="1" applyAlignment="1">
      <alignment horizontal="center" vertical="center"/>
    </xf>
    <xf numFmtId="0" fontId="64" fillId="0" borderId="21" xfId="14" applyFont="1" applyFill="1" applyBorder="1" applyAlignment="1">
      <alignment horizontal="center" vertical="center"/>
    </xf>
    <xf numFmtId="0" fontId="64" fillId="0" borderId="23" xfId="14" applyFont="1" applyFill="1" applyBorder="1" applyAlignment="1">
      <alignment vertical="center"/>
    </xf>
    <xf numFmtId="0" fontId="63" fillId="0" borderId="24" xfId="14" applyFont="1" applyFill="1" applyBorder="1" applyAlignment="1">
      <alignment horizontal="center" vertical="center"/>
    </xf>
    <xf numFmtId="2" fontId="63" fillId="0" borderId="22" xfId="14" applyNumberFormat="1" applyFont="1" applyFill="1" applyBorder="1" applyAlignment="1">
      <alignment horizontal="right" vertical="center"/>
    </xf>
    <xf numFmtId="170" fontId="63" fillId="0" borderId="22" xfId="14" applyNumberFormat="1" applyFont="1" applyFill="1" applyBorder="1" applyAlignment="1">
      <alignment horizontal="center" vertical="center"/>
    </xf>
    <xf numFmtId="2" fontId="63" fillId="0" borderId="23" xfId="14" applyNumberFormat="1" applyFont="1" applyFill="1" applyBorder="1" applyAlignment="1">
      <alignment horizontal="center" vertical="center"/>
    </xf>
    <xf numFmtId="2" fontId="63" fillId="0" borderId="23" xfId="14" applyNumberFormat="1" applyFont="1" applyFill="1" applyBorder="1" applyAlignment="1">
      <alignment horizontal="right" vertical="center"/>
    </xf>
    <xf numFmtId="2" fontId="63" fillId="0" borderId="26" xfId="14" applyNumberFormat="1" applyFont="1" applyFill="1" applyBorder="1" applyAlignment="1">
      <alignment horizontal="center" vertical="center"/>
    </xf>
    <xf numFmtId="165" fontId="62" fillId="0" borderId="0" xfId="9" applyNumberFormat="1" applyFont="1" applyFill="1"/>
    <xf numFmtId="170" fontId="66" fillId="0" borderId="22" xfId="14" applyNumberFormat="1" applyFont="1" applyFill="1" applyBorder="1" applyAlignment="1">
      <alignment horizontal="right" vertical="center"/>
    </xf>
    <xf numFmtId="0" fontId="63" fillId="0" borderId="99" xfId="14" applyFont="1" applyFill="1" applyBorder="1" applyAlignment="1">
      <alignment horizontal="center" vertical="center"/>
    </xf>
    <xf numFmtId="0" fontId="63" fillId="0" borderId="32" xfId="14" applyFont="1" applyBorder="1" applyAlignment="1">
      <alignment vertical="center"/>
    </xf>
    <xf numFmtId="0" fontId="63" fillId="0" borderId="29" xfId="14" applyFont="1" applyFill="1" applyBorder="1" applyAlignment="1">
      <alignment horizontal="center" vertical="center"/>
    </xf>
    <xf numFmtId="170" fontId="63" fillId="0" borderId="27" xfId="14" applyNumberFormat="1" applyFont="1" applyFill="1" applyBorder="1" applyAlignment="1">
      <alignment horizontal="center" vertical="center"/>
    </xf>
    <xf numFmtId="2" fontId="63" fillId="0" borderId="28" xfId="14" applyNumberFormat="1" applyFont="1" applyFill="1" applyBorder="1" applyAlignment="1">
      <alignment horizontal="center" vertical="center"/>
    </xf>
    <xf numFmtId="2" fontId="63" fillId="0" borderId="28" xfId="14" applyNumberFormat="1" applyFont="1" applyFill="1" applyBorder="1" applyAlignment="1">
      <alignment horizontal="right" vertical="center"/>
    </xf>
    <xf numFmtId="2" fontId="63" fillId="0" borderId="156" xfId="14" applyNumberFormat="1" applyFont="1" applyFill="1" applyBorder="1" applyAlignment="1">
      <alignment horizontal="center" vertical="center"/>
    </xf>
    <xf numFmtId="0" fontId="63" fillId="4" borderId="24" xfId="14" applyFont="1" applyFill="1" applyBorder="1" applyAlignment="1">
      <alignment horizontal="center" vertical="center" wrapText="1"/>
    </xf>
    <xf numFmtId="2" fontId="63" fillId="4" borderId="23" xfId="14" applyNumberFormat="1" applyFont="1" applyFill="1" applyBorder="1" applyAlignment="1">
      <alignment horizontal="center" vertical="center"/>
    </xf>
    <xf numFmtId="2" fontId="64" fillId="4" borderId="23" xfId="14" applyNumberFormat="1" applyFont="1" applyFill="1" applyBorder="1" applyAlignment="1">
      <alignment horizontal="center" vertical="center"/>
    </xf>
    <xf numFmtId="0" fontId="63" fillId="4" borderId="25" xfId="14" applyFont="1" applyFill="1" applyBorder="1" applyAlignment="1">
      <alignment horizontal="center" vertical="center" wrapText="1"/>
    </xf>
    <xf numFmtId="0" fontId="62" fillId="4" borderId="0" xfId="9" applyFont="1" applyFill="1"/>
    <xf numFmtId="2" fontId="63" fillId="4" borderId="22" xfId="14" applyNumberFormat="1" applyFont="1" applyFill="1" applyBorder="1" applyAlignment="1">
      <alignment horizontal="right" vertical="center"/>
    </xf>
    <xf numFmtId="0" fontId="63" fillId="4" borderId="24" xfId="14" applyFont="1" applyFill="1" applyBorder="1" applyAlignment="1">
      <alignment horizontal="center" vertical="center"/>
    </xf>
    <xf numFmtId="2" fontId="63" fillId="4" borderId="22" xfId="14" applyNumberFormat="1" applyFont="1" applyFill="1" applyBorder="1" applyAlignment="1">
      <alignment horizontal="center" vertical="center"/>
    </xf>
    <xf numFmtId="2" fontId="63" fillId="4" borderId="26" xfId="14" applyNumberFormat="1" applyFont="1" applyFill="1" applyBorder="1" applyAlignment="1">
      <alignment horizontal="center" vertical="center"/>
    </xf>
    <xf numFmtId="165" fontId="62" fillId="4" borderId="0" xfId="9" applyNumberFormat="1" applyFont="1" applyFill="1"/>
    <xf numFmtId="0" fontId="63" fillId="4" borderId="21" xfId="14" applyFont="1" applyFill="1" applyBorder="1" applyAlignment="1">
      <alignment horizontal="center" vertical="center"/>
    </xf>
    <xf numFmtId="0" fontId="63" fillId="4" borderId="24" xfId="14" applyFont="1" applyFill="1" applyBorder="1" applyAlignment="1">
      <alignment horizontal="left" vertical="center"/>
    </xf>
    <xf numFmtId="2" fontId="66" fillId="4" borderId="22" xfId="14" applyNumberFormat="1" applyFont="1" applyFill="1" applyBorder="1" applyAlignment="1">
      <alignment horizontal="right" vertical="center"/>
    </xf>
    <xf numFmtId="0" fontId="63" fillId="4" borderId="23" xfId="14" applyFont="1" applyFill="1" applyBorder="1" applyAlignment="1">
      <alignment horizontal="center" vertical="center"/>
    </xf>
    <xf numFmtId="0" fontId="63" fillId="4" borderId="83" xfId="14" applyFont="1" applyFill="1" applyBorder="1" applyAlignment="1">
      <alignment horizontal="center" vertical="center"/>
    </xf>
    <xf numFmtId="0" fontId="63" fillId="4" borderId="43" xfId="14" applyFont="1" applyFill="1" applyBorder="1" applyAlignment="1">
      <alignment horizontal="left" vertical="center"/>
    </xf>
    <xf numFmtId="2" fontId="63" fillId="4" borderId="41" xfId="14" applyNumberFormat="1" applyFont="1" applyFill="1" applyBorder="1" applyAlignment="1">
      <alignment horizontal="right" vertical="center"/>
    </xf>
    <xf numFmtId="0" fontId="63" fillId="4" borderId="43" xfId="14" applyFont="1" applyFill="1" applyBorder="1" applyAlignment="1">
      <alignment horizontal="center" vertical="center"/>
    </xf>
    <xf numFmtId="0" fontId="63" fillId="4" borderId="43" xfId="14" applyFont="1" applyFill="1" applyBorder="1" applyAlignment="1">
      <alignment horizontal="center" vertical="center" wrapText="1"/>
    </xf>
    <xf numFmtId="2" fontId="63" fillId="4" borderId="41" xfId="14" applyNumberFormat="1" applyFont="1" applyFill="1" applyBorder="1" applyAlignment="1">
      <alignment horizontal="center" vertical="center"/>
    </xf>
    <xf numFmtId="2" fontId="63" fillId="4" borderId="42" xfId="14" applyNumberFormat="1" applyFont="1" applyFill="1" applyBorder="1" applyAlignment="1">
      <alignment horizontal="center" vertical="center"/>
    </xf>
    <xf numFmtId="2" fontId="64" fillId="4" borderId="42" xfId="14" applyNumberFormat="1" applyFont="1" applyFill="1" applyBorder="1" applyAlignment="1">
      <alignment horizontal="center" vertical="center"/>
    </xf>
    <xf numFmtId="2" fontId="63" fillId="4" borderId="97" xfId="14" applyNumberFormat="1" applyFont="1" applyFill="1" applyBorder="1" applyAlignment="1">
      <alignment horizontal="center" vertical="center"/>
    </xf>
    <xf numFmtId="0" fontId="68" fillId="0" borderId="0" xfId="14" applyFont="1" applyFill="1" applyAlignment="1">
      <alignment horizontal="center" vertical="center"/>
    </xf>
    <xf numFmtId="0" fontId="4" fillId="0" borderId="0" xfId="9" applyFill="1" applyAlignment="1">
      <alignment wrapText="1"/>
    </xf>
    <xf numFmtId="0" fontId="68" fillId="0" borderId="0" xfId="14" applyFont="1" applyFill="1" applyAlignment="1">
      <alignment vertical="center"/>
    </xf>
    <xf numFmtId="0" fontId="68" fillId="0" borderId="0" xfId="14" applyFont="1" applyFill="1" applyAlignment="1">
      <alignment horizontal="right" vertical="center"/>
    </xf>
    <xf numFmtId="165" fontId="62" fillId="0" borderId="0" xfId="5" applyFont="1" applyFill="1"/>
    <xf numFmtId="170" fontId="68" fillId="0" borderId="0" xfId="14" applyNumberFormat="1" applyFont="1" applyFill="1" applyAlignment="1">
      <alignment horizontal="right" vertical="center"/>
    </xf>
    <xf numFmtId="166" fontId="62" fillId="0" borderId="0" xfId="9" applyNumberFormat="1" applyFont="1" applyFill="1"/>
    <xf numFmtId="165" fontId="20" fillId="0" borderId="17" xfId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168" fontId="20" fillId="0" borderId="10" xfId="1" applyNumberFormat="1" applyFont="1" applyFill="1" applyBorder="1" applyAlignment="1">
      <alignment vertical="center"/>
    </xf>
    <xf numFmtId="0" fontId="53" fillId="0" borderId="53" xfId="9" applyFont="1" applyFill="1" applyBorder="1" applyAlignment="1"/>
    <xf numFmtId="179" fontId="57" fillId="0" borderId="137" xfId="9" applyNumberFormat="1" applyFont="1" applyFill="1" applyBorder="1" applyAlignment="1">
      <alignment vertical="center"/>
    </xf>
    <xf numFmtId="179" fontId="57" fillId="0" borderId="138" xfId="9" applyNumberFormat="1" applyFont="1" applyFill="1" applyBorder="1" applyAlignment="1">
      <alignment vertical="center"/>
    </xf>
    <xf numFmtId="0" fontId="48" fillId="5" borderId="0" xfId="0" applyFont="1" applyFill="1"/>
    <xf numFmtId="0" fontId="48" fillId="0" borderId="0" xfId="0" applyFont="1" applyFill="1"/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165" fontId="20" fillId="0" borderId="22" xfId="1" applyFont="1" applyFill="1" applyBorder="1" applyAlignment="1">
      <alignment vertical="center"/>
    </xf>
    <xf numFmtId="165" fontId="20" fillId="0" borderId="23" xfId="1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7" fontId="20" fillId="0" borderId="24" xfId="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82" xfId="0" applyFont="1" applyBorder="1" applyAlignment="1">
      <alignment horizontal="center" vertical="center"/>
    </xf>
    <xf numFmtId="39" fontId="20" fillId="0" borderId="20" xfId="1" applyNumberFormat="1" applyFont="1" applyBorder="1" applyAlignment="1">
      <alignment vertical="center"/>
    </xf>
    <xf numFmtId="39" fontId="20" fillId="0" borderId="26" xfId="1" applyNumberFormat="1" applyFont="1" applyBorder="1" applyAlignment="1">
      <alignment vertical="center"/>
    </xf>
    <xf numFmtId="39" fontId="28" fillId="0" borderId="36" xfId="1" applyNumberFormat="1" applyFont="1" applyBorder="1" applyAlignment="1">
      <alignment vertical="center"/>
    </xf>
    <xf numFmtId="39" fontId="20" fillId="0" borderId="36" xfId="1" applyNumberFormat="1" applyFont="1" applyBorder="1" applyAlignment="1">
      <alignment vertical="center"/>
    </xf>
    <xf numFmtId="39" fontId="20" fillId="0" borderId="35" xfId="1" applyNumberFormat="1" applyFont="1" applyBorder="1" applyAlignment="1">
      <alignment vertical="center"/>
    </xf>
    <xf numFmtId="39" fontId="20" fillId="0" borderId="40" xfId="1" applyNumberFormat="1" applyFont="1" applyBorder="1" applyAlignment="1">
      <alignment vertical="center"/>
    </xf>
    <xf numFmtId="39" fontId="20" fillId="0" borderId="26" xfId="1" applyNumberFormat="1" applyFont="1" applyFill="1" applyBorder="1" applyAlignment="1">
      <alignment vertical="center"/>
    </xf>
    <xf numFmtId="0" fontId="48" fillId="2" borderId="0" xfId="0" applyFont="1" applyFill="1"/>
    <xf numFmtId="0" fontId="0" fillId="2" borderId="0" xfId="0" applyFill="1"/>
    <xf numFmtId="0" fontId="4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167" fontId="20" fillId="0" borderId="0" xfId="1" applyNumberFormat="1" applyFont="1" applyAlignment="1">
      <alignment vertical="center"/>
    </xf>
    <xf numFmtId="0" fontId="12" fillId="0" borderId="0" xfId="153" applyFont="1"/>
    <xf numFmtId="0" fontId="12" fillId="0" borderId="0" xfId="153" applyFont="1" applyAlignment="1">
      <alignment horizontal="right"/>
    </xf>
    <xf numFmtId="187" fontId="12" fillId="0" borderId="0" xfId="153" applyNumberFormat="1" applyFont="1"/>
    <xf numFmtId="9" fontId="12" fillId="0" borderId="0" xfId="153" applyNumberFormat="1" applyFont="1"/>
    <xf numFmtId="164" fontId="88" fillId="0" borderId="0" xfId="153" applyNumberFormat="1" applyFont="1" applyFill="1" applyBorder="1"/>
    <xf numFmtId="0" fontId="88" fillId="0" borderId="0" xfId="153" applyFont="1" applyFill="1" applyBorder="1"/>
    <xf numFmtId="170" fontId="12" fillId="0" borderId="0" xfId="153" applyNumberFormat="1" applyFont="1" applyFill="1" applyBorder="1" applyAlignment="1">
      <alignment horizontal="center"/>
    </xf>
    <xf numFmtId="0" fontId="12" fillId="0" borderId="0" xfId="153" applyFont="1" applyFill="1" applyBorder="1" applyAlignment="1">
      <alignment horizontal="right"/>
    </xf>
    <xf numFmtId="187" fontId="12" fillId="0" borderId="0" xfId="153" applyNumberFormat="1" applyFont="1" applyFill="1" applyBorder="1" applyAlignment="1">
      <alignment horizontal="right"/>
    </xf>
    <xf numFmtId="0" fontId="12" fillId="0" borderId="0" xfId="153" applyFont="1" applyFill="1" applyBorder="1" applyAlignment="1">
      <alignment horizontal="center"/>
    </xf>
    <xf numFmtId="0" fontId="12" fillId="0" borderId="0" xfId="153" applyFont="1" applyFill="1" applyBorder="1"/>
    <xf numFmtId="188" fontId="12" fillId="0" borderId="0" xfId="153" applyNumberFormat="1" applyFont="1" applyFill="1" applyBorder="1" applyAlignment="1">
      <alignment horizontal="right"/>
    </xf>
    <xf numFmtId="187" fontId="12" fillId="0" borderId="0" xfId="153" applyNumberFormat="1" applyFont="1" applyFill="1" applyBorder="1"/>
    <xf numFmtId="187" fontId="88" fillId="0" borderId="162" xfId="153" applyNumberFormat="1" applyFont="1" applyFill="1" applyBorder="1"/>
    <xf numFmtId="0" fontId="88" fillId="0" borderId="0" xfId="153" applyFont="1" applyFill="1"/>
    <xf numFmtId="170" fontId="12" fillId="0" borderId="0" xfId="153" applyNumberFormat="1" applyFont="1" applyFill="1" applyAlignment="1">
      <alignment horizontal="center"/>
    </xf>
    <xf numFmtId="0" fontId="12" fillId="0" borderId="0" xfId="153" applyFont="1" applyFill="1" applyAlignment="1">
      <alignment horizontal="center"/>
    </xf>
    <xf numFmtId="0" fontId="12" fillId="0" borderId="0" xfId="153" applyFont="1" applyFill="1"/>
    <xf numFmtId="164" fontId="12" fillId="0" borderId="0" xfId="153" applyNumberFormat="1" applyFont="1" applyFill="1" applyBorder="1" applyAlignment="1">
      <alignment horizontal="right"/>
    </xf>
    <xf numFmtId="189" fontId="90" fillId="0" borderId="0" xfId="8" applyNumberFormat="1" applyFont="1" applyBorder="1" applyAlignment="1">
      <alignment horizontal="right"/>
    </xf>
    <xf numFmtId="164" fontId="12" fillId="0" borderId="0" xfId="153" applyNumberFormat="1" applyFont="1" applyFill="1" applyAlignment="1">
      <alignment horizontal="right"/>
    </xf>
    <xf numFmtId="0" fontId="12" fillId="0" borderId="0" xfId="153" quotePrefix="1" applyFont="1" applyFill="1" applyAlignment="1">
      <alignment horizontal="center"/>
    </xf>
    <xf numFmtId="164" fontId="12" fillId="0" borderId="0" xfId="153" applyNumberFormat="1" applyFont="1" applyFill="1" applyBorder="1"/>
    <xf numFmtId="0" fontId="12" fillId="0" borderId="0" xfId="153" quotePrefix="1" applyFont="1" applyFill="1" applyBorder="1" applyAlignment="1">
      <alignment horizontal="center"/>
    </xf>
    <xf numFmtId="0" fontId="12" fillId="0" borderId="0" xfId="153" applyFont="1" applyBorder="1"/>
    <xf numFmtId="9" fontId="90" fillId="0" borderId="0" xfId="8" applyNumberFormat="1" applyFont="1" applyBorder="1" applyAlignment="1">
      <alignment horizontal="right"/>
    </xf>
    <xf numFmtId="187" fontId="88" fillId="0" borderId="0" xfId="153" applyNumberFormat="1" applyFont="1" applyFill="1" applyBorder="1"/>
    <xf numFmtId="170" fontId="12" fillId="0" borderId="0" xfId="153" quotePrefix="1" applyNumberFormat="1" applyFont="1" applyFill="1" applyBorder="1" applyAlignment="1">
      <alignment horizontal="center"/>
    </xf>
    <xf numFmtId="170" fontId="12" fillId="0" borderId="0" xfId="153" quotePrefix="1" applyNumberFormat="1" applyFont="1" applyFill="1" applyAlignment="1">
      <alignment horizontal="center"/>
    </xf>
    <xf numFmtId="0" fontId="12" fillId="0" borderId="0" xfId="153" applyFont="1" applyFill="1" applyAlignment="1">
      <alignment horizontal="right"/>
    </xf>
    <xf numFmtId="0" fontId="12" fillId="0" borderId="0" xfId="153" applyFont="1" applyBorder="1" applyAlignment="1">
      <alignment horizontal="right"/>
    </xf>
    <xf numFmtId="187" fontId="12" fillId="0" borderId="0" xfId="153" applyNumberFormat="1" applyFont="1" applyBorder="1"/>
    <xf numFmtId="0" fontId="91" fillId="0" borderId="0" xfId="8" applyFont="1" applyBorder="1"/>
    <xf numFmtId="0" fontId="12" fillId="0" borderId="0" xfId="153" applyFont="1" applyAlignment="1">
      <alignment horizontal="center"/>
    </xf>
    <xf numFmtId="189" fontId="12" fillId="0" borderId="0" xfId="153" applyNumberFormat="1" applyFont="1" applyAlignment="1">
      <alignment horizontal="right"/>
    </xf>
    <xf numFmtId="0" fontId="90" fillId="0" borderId="0" xfId="8" applyFont="1" applyBorder="1"/>
    <xf numFmtId="170" fontId="90" fillId="0" borderId="0" xfId="8" applyNumberFormat="1" applyFont="1" applyBorder="1" applyAlignment="1">
      <alignment horizontal="center"/>
    </xf>
    <xf numFmtId="164" fontId="88" fillId="0" borderId="0" xfId="153" applyNumberFormat="1" applyFont="1" applyFill="1"/>
    <xf numFmtId="0" fontId="90" fillId="0" borderId="0" xfId="8" applyFont="1" applyBorder="1" applyAlignment="1">
      <alignment wrapText="1"/>
    </xf>
    <xf numFmtId="0" fontId="90" fillId="0" borderId="0" xfId="8" applyFont="1" applyBorder="1" applyAlignment="1">
      <alignment horizontal="center"/>
    </xf>
    <xf numFmtId="2" fontId="90" fillId="0" borderId="0" xfId="8" applyNumberFormat="1" applyFont="1" applyBorder="1" applyAlignment="1">
      <alignment horizontal="center"/>
    </xf>
    <xf numFmtId="172" fontId="90" fillId="0" borderId="0" xfId="8" applyNumberFormat="1" applyFont="1" applyBorder="1" applyAlignment="1">
      <alignment horizontal="center"/>
    </xf>
    <xf numFmtId="0" fontId="90" fillId="0" borderId="0" xfId="8" applyFont="1" applyBorder="1" applyAlignment="1">
      <alignment horizontal="center" vertical="center"/>
    </xf>
    <xf numFmtId="187" fontId="88" fillId="0" borderId="162" xfId="153" applyNumberFormat="1" applyFont="1" applyBorder="1"/>
    <xf numFmtId="0" fontId="12" fillId="0" borderId="0" xfId="153" applyFont="1" applyAlignment="1">
      <alignment horizontal="right" vertical="center"/>
    </xf>
    <xf numFmtId="9" fontId="12" fillId="0" borderId="0" xfId="153" applyNumberFormat="1" applyFont="1" applyAlignment="1">
      <alignment horizontal="right"/>
    </xf>
    <xf numFmtId="0" fontId="12" fillId="0" borderId="0" xfId="153" applyFont="1" applyFill="1" applyBorder="1" applyAlignment="1"/>
    <xf numFmtId="170" fontId="12" fillId="0" borderId="0" xfId="153" applyNumberFormat="1" applyFont="1"/>
    <xf numFmtId="0" fontId="88" fillId="0" borderId="0" xfId="153" applyFont="1"/>
    <xf numFmtId="170" fontId="12" fillId="0" borderId="0" xfId="153" applyNumberFormat="1" applyFont="1" applyAlignment="1">
      <alignment horizontal="center"/>
    </xf>
    <xf numFmtId="2" fontId="12" fillId="0" borderId="0" xfId="153" applyNumberFormat="1" applyFont="1" applyAlignment="1">
      <alignment horizontal="center"/>
    </xf>
    <xf numFmtId="187" fontId="12" fillId="0" borderId="0" xfId="68" applyNumberFormat="1" applyFont="1"/>
    <xf numFmtId="2" fontId="12" fillId="0" borderId="0" xfId="153" applyNumberFormat="1" applyFont="1" applyAlignment="1">
      <alignment horizontal="right"/>
    </xf>
    <xf numFmtId="2" fontId="12" fillId="0" borderId="0" xfId="153" applyNumberFormat="1" applyFont="1"/>
    <xf numFmtId="187" fontId="88" fillId="0" borderId="162" xfId="68" applyNumberFormat="1" applyFont="1" applyBorder="1"/>
    <xf numFmtId="187" fontId="88" fillId="0" borderId="0" xfId="68" applyNumberFormat="1" applyFont="1" applyBorder="1"/>
    <xf numFmtId="189" fontId="90" fillId="0" borderId="0" xfId="8" applyNumberFormat="1" applyFont="1" applyBorder="1"/>
    <xf numFmtId="187" fontId="90" fillId="0" borderId="0" xfId="8" applyNumberFormat="1" applyFont="1" applyBorder="1"/>
    <xf numFmtId="0" fontId="90" fillId="0" borderId="0" xfId="8" applyFont="1" applyFill="1" applyBorder="1" applyAlignment="1">
      <alignment vertical="center" wrapText="1"/>
    </xf>
    <xf numFmtId="0" fontId="90" fillId="0" borderId="0" xfId="8" applyFont="1" applyFill="1" applyBorder="1" applyAlignment="1">
      <alignment horizontal="center" vertical="center" wrapText="1"/>
    </xf>
    <xf numFmtId="189" fontId="90" fillId="0" borderId="0" xfId="8" applyNumberFormat="1" applyFont="1" applyFill="1" applyBorder="1" applyAlignment="1">
      <alignment horizontal="center" vertical="center" wrapText="1"/>
    </xf>
    <xf numFmtId="187" fontId="90" fillId="0" borderId="0" xfId="8" applyNumberFormat="1" applyFont="1" applyFill="1" applyBorder="1" applyAlignment="1">
      <alignment horizontal="center" vertical="center" wrapText="1"/>
    </xf>
    <xf numFmtId="170" fontId="90" fillId="0" borderId="0" xfId="8" applyNumberFormat="1" applyFont="1" applyBorder="1" applyAlignment="1">
      <alignment horizontal="center" vertical="center"/>
    </xf>
    <xf numFmtId="189" fontId="90" fillId="0" borderId="0" xfId="8" applyNumberFormat="1" applyFont="1" applyBorder="1" applyAlignment="1">
      <alignment vertical="center"/>
    </xf>
    <xf numFmtId="187" fontId="90" fillId="0" borderId="0" xfId="8" applyNumberFormat="1" applyFont="1" applyBorder="1" applyAlignment="1">
      <alignment vertical="center"/>
    </xf>
    <xf numFmtId="0" fontId="91" fillId="0" borderId="0" xfId="8" applyFont="1" applyFill="1" applyBorder="1"/>
    <xf numFmtId="187" fontId="12" fillId="0" borderId="0" xfId="67" applyNumberFormat="1" applyFont="1" applyBorder="1"/>
    <xf numFmtId="189" fontId="90" fillId="0" borderId="0" xfId="8" applyNumberFormat="1" applyFont="1" applyFill="1" applyBorder="1"/>
    <xf numFmtId="0" fontId="91" fillId="2" borderId="0" xfId="8" applyFont="1" applyFill="1" applyBorder="1"/>
    <xf numFmtId="0" fontId="88" fillId="2" borderId="0" xfId="153" applyFont="1" applyFill="1" applyBorder="1" applyAlignment="1">
      <alignment horizontal="left" vertical="center"/>
    </xf>
    <xf numFmtId="0" fontId="12" fillId="2" borderId="0" xfId="153" applyFont="1" applyFill="1" applyBorder="1" applyAlignment="1">
      <alignment vertical="center"/>
    </xf>
    <xf numFmtId="179" fontId="12" fillId="2" borderId="0" xfId="68" applyNumberFormat="1" applyFont="1" applyFill="1" applyBorder="1" applyAlignment="1">
      <alignment vertical="center"/>
    </xf>
    <xf numFmtId="0" fontId="12" fillId="2" borderId="0" xfId="153" applyFont="1" applyFill="1" applyBorder="1" applyAlignment="1">
      <alignment horizontal="center" vertical="center"/>
    </xf>
    <xf numFmtId="166" fontId="12" fillId="2" borderId="0" xfId="68" applyNumberFormat="1" applyFont="1" applyFill="1" applyBorder="1" applyAlignment="1">
      <alignment vertical="center"/>
    </xf>
    <xf numFmtId="0" fontId="12" fillId="2" borderId="0" xfId="153" applyFont="1" applyFill="1"/>
    <xf numFmtId="0" fontId="90" fillId="0" borderId="0" xfId="8" applyFont="1" applyFill="1" applyBorder="1" applyAlignment="1">
      <alignment horizontal="left"/>
    </xf>
    <xf numFmtId="0" fontId="12" fillId="0" borderId="0" xfId="153" applyFont="1" applyFill="1" applyBorder="1" applyAlignment="1">
      <alignment vertical="center"/>
    </xf>
    <xf numFmtId="179" fontId="12" fillId="0" borderId="0" xfId="68" applyNumberFormat="1" applyFont="1" applyFill="1" applyBorder="1" applyAlignment="1">
      <alignment vertical="center"/>
    </xf>
    <xf numFmtId="0" fontId="12" fillId="0" borderId="0" xfId="200" applyFont="1" applyFill="1" applyBorder="1" applyAlignment="1">
      <alignment horizontal="center" vertical="center"/>
    </xf>
    <xf numFmtId="190" fontId="12" fillId="0" borderId="0" xfId="68" applyNumberFormat="1" applyFont="1" applyFill="1" applyBorder="1" applyAlignment="1">
      <alignment vertical="center"/>
    </xf>
    <xf numFmtId="0" fontId="12" fillId="0" borderId="0" xfId="153" applyFont="1" applyFill="1" applyBorder="1" applyAlignment="1">
      <alignment horizontal="left" vertical="center"/>
    </xf>
    <xf numFmtId="0" fontId="90" fillId="0" borderId="0" xfId="8" applyFont="1" applyFill="1" applyBorder="1" applyAlignment="1">
      <alignment horizontal="center"/>
    </xf>
    <xf numFmtId="187" fontId="12" fillId="0" borderId="0" xfId="68" applyNumberFormat="1" applyFont="1" applyFill="1" applyBorder="1" applyAlignment="1">
      <alignment vertical="center"/>
    </xf>
    <xf numFmtId="166" fontId="88" fillId="0" borderId="0" xfId="68" applyNumberFormat="1" applyFont="1" applyFill="1" applyBorder="1" applyAlignment="1">
      <alignment vertical="center"/>
    </xf>
    <xf numFmtId="186" fontId="12" fillId="0" borderId="0" xfId="68" applyNumberFormat="1" applyFont="1" applyFill="1" applyBorder="1" applyAlignment="1">
      <alignment vertical="center"/>
    </xf>
    <xf numFmtId="0" fontId="90" fillId="0" borderId="0" xfId="8" applyFont="1" applyFill="1" applyBorder="1" applyAlignment="1"/>
    <xf numFmtId="187" fontId="90" fillId="0" borderId="0" xfId="8" applyNumberFormat="1" applyFont="1" applyFill="1" applyBorder="1" applyAlignment="1"/>
    <xf numFmtId="0" fontId="88" fillId="0" borderId="0" xfId="153" applyFont="1" applyFill="1" applyBorder="1" applyAlignment="1">
      <alignment horizontal="left" vertical="center"/>
    </xf>
    <xf numFmtId="0" fontId="12" fillId="0" borderId="0" xfId="153" applyFont="1" applyFill="1" applyBorder="1" applyAlignment="1">
      <alignment horizontal="center" vertical="center"/>
    </xf>
    <xf numFmtId="0" fontId="90" fillId="0" borderId="0" xfId="8" applyFont="1" applyBorder="1" applyAlignment="1"/>
    <xf numFmtId="0" fontId="90" fillId="0" borderId="0" xfId="8" applyFont="1" applyFill="1" applyBorder="1"/>
    <xf numFmtId="187" fontId="90" fillId="0" borderId="0" xfId="8" applyNumberFormat="1" applyFont="1" applyFill="1" applyBorder="1"/>
    <xf numFmtId="9" fontId="90" fillId="0" borderId="0" xfId="8" applyNumberFormat="1" applyFont="1" applyFill="1" applyBorder="1" applyAlignment="1">
      <alignment horizontal="left"/>
    </xf>
    <xf numFmtId="187" fontId="88" fillId="0" borderId="0" xfId="68" applyNumberFormat="1" applyFont="1" applyFill="1" applyBorder="1" applyAlignment="1">
      <alignment vertical="center"/>
    </xf>
    <xf numFmtId="0" fontId="12" fillId="0" borderId="0" xfId="153" applyFont="1" applyFill="1" applyAlignment="1">
      <alignment horizontal="left"/>
    </xf>
    <xf numFmtId="190" fontId="12" fillId="0" borderId="0" xfId="153" applyNumberFormat="1" applyFont="1" applyFill="1" applyAlignment="1">
      <alignment horizontal="right"/>
    </xf>
    <xf numFmtId="190" fontId="12" fillId="0" borderId="0" xfId="153" applyNumberFormat="1" applyFont="1" applyFill="1"/>
    <xf numFmtId="166" fontId="12" fillId="0" borderId="0" xfId="68" applyNumberFormat="1" applyFont="1" applyFill="1" applyBorder="1" applyAlignment="1">
      <alignment vertical="center"/>
    </xf>
    <xf numFmtId="168" fontId="12" fillId="0" borderId="0" xfId="34" applyNumberFormat="1" applyFont="1" applyFill="1" applyBorder="1" applyAlignment="1">
      <alignment vertical="center"/>
    </xf>
    <xf numFmtId="187" fontId="12" fillId="0" borderId="0" xfId="153" applyNumberFormat="1" applyFont="1" applyFill="1"/>
    <xf numFmtId="165" fontId="20" fillId="0" borderId="42" xfId="1" applyFont="1" applyBorder="1" applyAlignment="1">
      <alignment vertical="center"/>
    </xf>
    <xf numFmtId="167" fontId="20" fillId="0" borderId="43" xfId="1" applyNumberFormat="1" applyFont="1" applyBorder="1" applyAlignment="1">
      <alignment vertical="center"/>
    </xf>
    <xf numFmtId="0" fontId="20" fillId="0" borderId="57" xfId="0" applyFont="1" applyFill="1" applyBorder="1" applyAlignment="1">
      <alignment horizontal="center" vertical="center"/>
    </xf>
    <xf numFmtId="179" fontId="57" fillId="0" borderId="122" xfId="12" applyNumberFormat="1" applyFont="1" applyFill="1" applyBorder="1" applyAlignment="1">
      <alignment horizontal="center" vertical="center"/>
    </xf>
    <xf numFmtId="0" fontId="0" fillId="5" borderId="0" xfId="0" applyFill="1"/>
    <xf numFmtId="168" fontId="20" fillId="0" borderId="25" xfId="1" applyNumberFormat="1" applyFont="1" applyFill="1" applyBorder="1" applyAlignment="1">
      <alignment horizontal="center" vertical="center"/>
    </xf>
    <xf numFmtId="168" fontId="20" fillId="0" borderId="22" xfId="1" applyNumberFormat="1" applyFont="1" applyFill="1" applyBorder="1" applyAlignment="1">
      <alignment horizontal="center" vertical="center"/>
    </xf>
    <xf numFmtId="168" fontId="20" fillId="0" borderId="34" xfId="1" applyNumberFormat="1" applyFont="1" applyFill="1" applyBorder="1" applyAlignment="1">
      <alignment horizontal="center" vertical="center"/>
    </xf>
    <xf numFmtId="168" fontId="20" fillId="0" borderId="24" xfId="1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12" fillId="3" borderId="0" xfId="153" applyFont="1" applyFill="1"/>
    <xf numFmtId="0" fontId="6" fillId="0" borderId="158" xfId="3" applyFont="1" applyFill="1" applyBorder="1" applyAlignment="1">
      <alignment horizontal="center" vertical="center"/>
    </xf>
    <xf numFmtId="164" fontId="6" fillId="0" borderId="79" xfId="3" applyNumberFormat="1" applyFont="1" applyFill="1" applyBorder="1"/>
    <xf numFmtId="164" fontId="6" fillId="0" borderId="76" xfId="3" applyNumberFormat="1" applyFont="1" applyFill="1" applyBorder="1"/>
    <xf numFmtId="167" fontId="6" fillId="0" borderId="76" xfId="1" applyNumberFormat="1" applyFont="1" applyFill="1" applyBorder="1" applyAlignment="1">
      <alignment vertical="center"/>
    </xf>
    <xf numFmtId="0" fontId="6" fillId="0" borderId="72" xfId="3" applyFont="1" applyFill="1" applyBorder="1" applyAlignment="1">
      <alignment horizontal="center"/>
    </xf>
    <xf numFmtId="164" fontId="31" fillId="0" borderId="0" xfId="3" applyNumberFormat="1" applyFont="1" applyFill="1" applyBorder="1" applyAlignment="1"/>
    <xf numFmtId="164" fontId="32" fillId="0" borderId="0" xfId="3" applyNumberFormat="1" applyFont="1" applyFill="1" applyBorder="1" applyAlignment="1"/>
    <xf numFmtId="0" fontId="31" fillId="0" borderId="0" xfId="3" applyFont="1" applyFill="1" applyBorder="1"/>
    <xf numFmtId="166" fontId="32" fillId="0" borderId="0" xfId="2" applyFont="1" applyFill="1" applyBorder="1"/>
    <xf numFmtId="166" fontId="43" fillId="0" borderId="0" xfId="2" applyFont="1" applyFill="1" applyBorder="1"/>
    <xf numFmtId="0" fontId="62" fillId="0" borderId="0" xfId="0" applyFont="1" applyFill="1" applyBorder="1" applyAlignment="1" applyProtection="1">
      <alignment horizontal="left" vertical="center"/>
    </xf>
    <xf numFmtId="0" fontId="3" fillId="0" borderId="0" xfId="3" applyFont="1" applyFill="1" applyBorder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31" fillId="0" borderId="0" xfId="3" applyNumberFormat="1" applyFont="1" applyFill="1" applyBorder="1"/>
    <xf numFmtId="0" fontId="32" fillId="0" borderId="0" xfId="4" applyNumberFormat="1" applyFont="1" applyFill="1" applyBorder="1"/>
    <xf numFmtId="0" fontId="43" fillId="0" borderId="0" xfId="4" applyNumberFormat="1" applyFont="1" applyFill="1" applyBorder="1"/>
    <xf numFmtId="2" fontId="63" fillId="4" borderId="23" xfId="14" applyNumberFormat="1" applyFont="1" applyFill="1" applyBorder="1" applyAlignment="1">
      <alignment horizontal="left" vertical="center" wrapText="1"/>
    </xf>
    <xf numFmtId="2" fontId="63" fillId="4" borderId="32" xfId="14" applyNumberFormat="1" applyFont="1" applyFill="1" applyBorder="1" applyAlignment="1">
      <alignment horizontal="left" vertical="center" wrapText="1"/>
    </xf>
    <xf numFmtId="166" fontId="2" fillId="0" borderId="0" xfId="8" applyNumberFormat="1"/>
    <xf numFmtId="0" fontId="61" fillId="0" borderId="0" xfId="13" applyFont="1" applyFill="1" applyAlignment="1">
      <alignment horizontal="center" vertical="center"/>
    </xf>
    <xf numFmtId="170" fontId="66" fillId="4" borderId="22" xfId="14" applyNumberFormat="1" applyFont="1" applyFill="1" applyBorder="1" applyAlignment="1">
      <alignment horizontal="right" vertical="center"/>
    </xf>
    <xf numFmtId="170" fontId="63" fillId="4" borderId="22" xfId="14" applyNumberFormat="1" applyFont="1" applyFill="1" applyBorder="1" applyAlignment="1">
      <alignment horizontal="center" vertical="center"/>
    </xf>
    <xf numFmtId="2" fontId="63" fillId="4" borderId="23" xfId="14" applyNumberFormat="1" applyFont="1" applyFill="1" applyBorder="1" applyAlignment="1">
      <alignment horizontal="right" vertical="center"/>
    </xf>
    <xf numFmtId="0" fontId="64" fillId="4" borderId="15" xfId="14" applyFont="1" applyFill="1" applyBorder="1" applyAlignment="1">
      <alignment horizontal="center" vertical="center"/>
    </xf>
    <xf numFmtId="166" fontId="64" fillId="4" borderId="17" xfId="14" applyNumberFormat="1" applyFont="1" applyFill="1" applyBorder="1" applyAlignment="1">
      <alignment vertical="center"/>
    </xf>
    <xf numFmtId="0" fontId="63" fillId="4" borderId="18" xfId="14" applyFont="1" applyFill="1" applyBorder="1" applyAlignment="1">
      <alignment horizontal="center" vertical="center"/>
    </xf>
    <xf numFmtId="170" fontId="66" fillId="4" borderId="16" xfId="14" applyNumberFormat="1" applyFont="1" applyFill="1" applyBorder="1" applyAlignment="1">
      <alignment horizontal="right" vertical="center"/>
    </xf>
    <xf numFmtId="0" fontId="67" fillId="4" borderId="18" xfId="14" applyFont="1" applyFill="1" applyBorder="1" applyAlignment="1">
      <alignment horizontal="center" vertical="center"/>
    </xf>
    <xf numFmtId="170" fontId="63" fillId="4" borderId="16" xfId="14" applyNumberFormat="1" applyFont="1" applyFill="1" applyBorder="1" applyAlignment="1">
      <alignment horizontal="center" vertical="center"/>
    </xf>
    <xf numFmtId="2" fontId="63" fillId="4" borderId="17" xfId="14" applyNumberFormat="1" applyFont="1" applyFill="1" applyBorder="1" applyAlignment="1">
      <alignment horizontal="center" vertical="center"/>
    </xf>
    <xf numFmtId="170" fontId="63" fillId="4" borderId="17" xfId="14" applyNumberFormat="1" applyFont="1" applyFill="1" applyBorder="1" applyAlignment="1">
      <alignment horizontal="center" vertical="center"/>
    </xf>
    <xf numFmtId="170" fontId="63" fillId="4" borderId="17" xfId="14" applyNumberFormat="1" applyFont="1" applyFill="1" applyBorder="1" applyAlignment="1">
      <alignment horizontal="right" vertical="center"/>
    </xf>
    <xf numFmtId="2" fontId="63" fillId="4" borderId="20" xfId="14" applyNumberFormat="1" applyFont="1" applyFill="1" applyBorder="1" applyAlignment="1">
      <alignment horizontal="center" vertical="center"/>
    </xf>
    <xf numFmtId="0" fontId="64" fillId="4" borderId="21" xfId="14" applyFont="1" applyFill="1" applyBorder="1" applyAlignment="1">
      <alignment horizontal="center" vertical="center"/>
    </xf>
    <xf numFmtId="170" fontId="63" fillId="4" borderId="23" xfId="14" applyNumberFormat="1" applyFont="1" applyFill="1" applyBorder="1" applyAlignment="1">
      <alignment horizontal="center" vertical="center"/>
    </xf>
    <xf numFmtId="170" fontId="63" fillId="4" borderId="23" xfId="14" applyNumberFormat="1" applyFont="1" applyFill="1" applyBorder="1" applyAlignment="1">
      <alignment horizontal="right" vertical="center"/>
    </xf>
    <xf numFmtId="170" fontId="64" fillId="4" borderId="23" xfId="14" applyNumberFormat="1" applyFont="1" applyFill="1" applyBorder="1" applyAlignment="1">
      <alignment horizontal="right" vertical="center"/>
    </xf>
    <xf numFmtId="170" fontId="66" fillId="4" borderId="22" xfId="14" applyNumberFormat="1" applyFont="1" applyFill="1" applyBorder="1" applyAlignment="1">
      <alignment vertical="center"/>
    </xf>
    <xf numFmtId="0" fontId="63" fillId="4" borderId="24" xfId="14" applyFont="1" applyFill="1" applyBorder="1" applyAlignment="1">
      <alignment vertical="center"/>
    </xf>
    <xf numFmtId="2" fontId="63" fillId="4" borderId="23" xfId="14" applyNumberFormat="1" applyFont="1" applyFill="1" applyBorder="1" applyAlignment="1">
      <alignment horizontal="left" vertical="center"/>
    </xf>
    <xf numFmtId="0" fontId="63" fillId="4" borderId="42" xfId="14" applyFont="1" applyFill="1" applyBorder="1" applyAlignment="1">
      <alignment horizontal="left" vertical="center"/>
    </xf>
    <xf numFmtId="0" fontId="4" fillId="4" borderId="43" xfId="9" applyFill="1" applyBorder="1" applyAlignment="1">
      <alignment horizontal="left" vertical="center"/>
    </xf>
    <xf numFmtId="170" fontId="66" fillId="4" borderId="41" xfId="14" applyNumberFormat="1" applyFont="1" applyFill="1" applyBorder="1" applyAlignment="1">
      <alignment horizontal="right" vertical="center"/>
    </xf>
    <xf numFmtId="170" fontId="63" fillId="4" borderId="41" xfId="14" applyNumberFormat="1" applyFont="1" applyFill="1" applyBorder="1" applyAlignment="1">
      <alignment horizontal="center" vertical="center"/>
    </xf>
    <xf numFmtId="170" fontId="63" fillId="4" borderId="42" xfId="14" applyNumberFormat="1" applyFont="1" applyFill="1" applyBorder="1" applyAlignment="1">
      <alignment horizontal="center" vertical="center"/>
    </xf>
    <xf numFmtId="170" fontId="64" fillId="4" borderId="42" xfId="14" applyNumberFormat="1" applyFont="1" applyFill="1" applyBorder="1" applyAlignment="1">
      <alignment horizontal="right" vertical="center"/>
    </xf>
    <xf numFmtId="170" fontId="64" fillId="4" borderId="42" xfId="14" applyNumberFormat="1" applyFont="1" applyFill="1" applyBorder="1" applyAlignment="1">
      <alignment horizontal="center" vertical="center"/>
    </xf>
    <xf numFmtId="0" fontId="63" fillId="4" borderId="46" xfId="14" applyFont="1" applyFill="1" applyBorder="1" applyAlignment="1">
      <alignment horizontal="center" vertical="center"/>
    </xf>
    <xf numFmtId="0" fontId="63" fillId="4" borderId="5" xfId="14" applyFont="1" applyFill="1" applyBorder="1" applyAlignment="1">
      <alignment horizontal="left" vertical="center"/>
    </xf>
    <xf numFmtId="0" fontId="4" fillId="4" borderId="67" xfId="9" applyFill="1" applyBorder="1" applyAlignment="1">
      <alignment horizontal="left" vertical="center"/>
    </xf>
    <xf numFmtId="170" fontId="66" fillId="4" borderId="66" xfId="14" applyNumberFormat="1" applyFont="1" applyFill="1" applyBorder="1" applyAlignment="1">
      <alignment horizontal="right" vertical="center"/>
    </xf>
    <xf numFmtId="170" fontId="66" fillId="4" borderId="23" xfId="14" applyNumberFormat="1" applyFont="1" applyFill="1" applyBorder="1" applyAlignment="1">
      <alignment horizontal="center" vertical="center"/>
    </xf>
    <xf numFmtId="2" fontId="63" fillId="4" borderId="5" xfId="14" applyNumberFormat="1" applyFont="1" applyFill="1" applyBorder="1" applyAlignment="1">
      <alignment horizontal="center" vertical="center"/>
    </xf>
    <xf numFmtId="2" fontId="63" fillId="4" borderId="157" xfId="14" applyNumberFormat="1" applyFont="1" applyFill="1" applyBorder="1" applyAlignment="1">
      <alignment horizontal="center" vertical="center"/>
    </xf>
    <xf numFmtId="0" fontId="63" fillId="4" borderId="67" xfId="14" applyFont="1" applyFill="1" applyBorder="1" applyAlignment="1">
      <alignment horizontal="center" vertical="center"/>
    </xf>
    <xf numFmtId="170" fontId="63" fillId="4" borderId="66" xfId="14" applyNumberFormat="1" applyFont="1" applyFill="1" applyBorder="1" applyAlignment="1">
      <alignment horizontal="center" vertical="center"/>
    </xf>
    <xf numFmtId="170" fontId="63" fillId="4" borderId="5" xfId="14" applyNumberFormat="1" applyFont="1" applyFill="1" applyBorder="1" applyAlignment="1">
      <alignment horizontal="center" vertical="center"/>
    </xf>
    <xf numFmtId="170" fontId="64" fillId="4" borderId="5" xfId="14" applyNumberFormat="1" applyFont="1" applyFill="1" applyBorder="1" applyAlignment="1">
      <alignment horizontal="right" vertical="center"/>
    </xf>
    <xf numFmtId="170" fontId="64" fillId="4" borderId="5" xfId="14" applyNumberFormat="1" applyFont="1" applyFill="1" applyBorder="1" applyAlignment="1">
      <alignment horizontal="center" vertical="center"/>
    </xf>
    <xf numFmtId="2" fontId="63" fillId="4" borderId="0" xfId="14" applyNumberFormat="1" applyFont="1" applyFill="1" applyBorder="1" applyAlignment="1">
      <alignment horizontal="center" vertical="center"/>
    </xf>
    <xf numFmtId="0" fontId="63" fillId="4" borderId="15" xfId="14" applyFont="1" applyFill="1" applyBorder="1" applyAlignment="1">
      <alignment horizontal="center" vertical="center"/>
    </xf>
    <xf numFmtId="170" fontId="64" fillId="4" borderId="23" xfId="14" applyNumberFormat="1" applyFont="1" applyFill="1" applyBorder="1" applyAlignment="1">
      <alignment horizontal="center" vertical="center"/>
    </xf>
    <xf numFmtId="0" fontId="64" fillId="4" borderId="17" xfId="14" applyFont="1" applyFill="1" applyBorder="1" applyAlignment="1">
      <alignment vertical="center"/>
    </xf>
    <xf numFmtId="0" fontId="63" fillId="4" borderId="22" xfId="14" applyFont="1" applyFill="1" applyBorder="1" applyAlignment="1">
      <alignment horizontal="left" vertical="center"/>
    </xf>
    <xf numFmtId="0" fontId="4" fillId="4" borderId="24" xfId="9" applyFill="1" applyBorder="1" applyAlignment="1">
      <alignment horizontal="left" vertical="center"/>
    </xf>
    <xf numFmtId="167" fontId="62" fillId="4" borderId="0" xfId="9" applyNumberFormat="1" applyFont="1" applyFill="1"/>
    <xf numFmtId="170" fontId="63" fillId="4" borderId="22" xfId="14" applyNumberFormat="1" applyFont="1" applyFill="1" applyBorder="1" applyAlignment="1">
      <alignment horizontal="right" vertical="center"/>
    </xf>
    <xf numFmtId="0" fontId="63" fillId="4" borderId="23" xfId="14" applyFont="1" applyFill="1" applyBorder="1" applyAlignment="1">
      <alignment horizontal="left" vertical="center" wrapText="1"/>
    </xf>
    <xf numFmtId="0" fontId="63" fillId="4" borderId="24" xfId="14" applyFont="1" applyFill="1" applyBorder="1" applyAlignment="1">
      <alignment horizontal="left" vertical="center" wrapText="1"/>
    </xf>
    <xf numFmtId="0" fontId="63" fillId="4" borderId="23" xfId="14" applyFont="1" applyFill="1" applyBorder="1" applyAlignment="1">
      <alignment vertical="center"/>
    </xf>
    <xf numFmtId="170" fontId="64" fillId="4" borderId="32" xfId="14" applyNumberFormat="1" applyFont="1" applyFill="1" applyBorder="1" applyAlignment="1">
      <alignment horizontal="right" vertical="center"/>
    </xf>
    <xf numFmtId="2" fontId="63" fillId="4" borderId="16" xfId="14" applyNumberFormat="1" applyFont="1" applyFill="1" applyBorder="1" applyAlignment="1">
      <alignment horizontal="right" vertical="center"/>
    </xf>
    <xf numFmtId="2" fontId="63" fillId="4" borderId="16" xfId="14" applyNumberFormat="1" applyFont="1" applyFill="1" applyBorder="1" applyAlignment="1">
      <alignment horizontal="center" vertical="center"/>
    </xf>
    <xf numFmtId="2" fontId="63" fillId="4" borderId="17" xfId="14" applyNumberFormat="1" applyFont="1" applyFill="1" applyBorder="1" applyAlignment="1">
      <alignment horizontal="right" vertical="center"/>
    </xf>
    <xf numFmtId="0" fontId="63" fillId="4" borderId="67" xfId="14" applyFont="1" applyFill="1" applyBorder="1" applyAlignment="1">
      <alignment horizontal="center" vertical="center" wrapText="1"/>
    </xf>
    <xf numFmtId="170" fontId="63" fillId="4" borderId="5" xfId="14" applyNumberFormat="1" applyFont="1" applyFill="1" applyBorder="1" applyAlignment="1">
      <alignment horizontal="right" vertical="center"/>
    </xf>
    <xf numFmtId="2" fontId="63" fillId="4" borderId="5" xfId="14" applyNumberFormat="1" applyFont="1" applyFill="1" applyBorder="1" applyAlignment="1">
      <alignment horizontal="left" vertical="center"/>
    </xf>
    <xf numFmtId="0" fontId="63" fillId="4" borderId="9" xfId="14" applyFont="1" applyFill="1" applyBorder="1" applyAlignment="1">
      <alignment horizontal="center" vertical="center"/>
    </xf>
    <xf numFmtId="0" fontId="63" fillId="4" borderId="18" xfId="14" applyFont="1" applyFill="1" applyBorder="1" applyAlignment="1">
      <alignment horizontal="center" vertical="center" wrapText="1"/>
    </xf>
    <xf numFmtId="170" fontId="64" fillId="4" borderId="17" xfId="14" applyNumberFormat="1" applyFont="1" applyFill="1" applyBorder="1" applyAlignment="1">
      <alignment horizontal="center" vertical="center"/>
    </xf>
    <xf numFmtId="2" fontId="63" fillId="4" borderId="17" xfId="14" applyNumberFormat="1" applyFont="1" applyFill="1" applyBorder="1" applyAlignment="1">
      <alignment horizontal="left" vertical="center"/>
    </xf>
    <xf numFmtId="2" fontId="63" fillId="4" borderId="40" xfId="14" applyNumberFormat="1" applyFont="1" applyFill="1" applyBorder="1" applyAlignment="1">
      <alignment horizontal="center" vertical="center"/>
    </xf>
    <xf numFmtId="2" fontId="63" fillId="4" borderId="32" xfId="14" applyNumberFormat="1" applyFont="1" applyFill="1" applyBorder="1" applyAlignment="1">
      <alignment horizontal="center" vertical="center"/>
    </xf>
    <xf numFmtId="0" fontId="63" fillId="4" borderId="0" xfId="14" applyFont="1" applyFill="1" applyBorder="1" applyAlignment="1">
      <alignment horizontal="left" vertical="center" wrapText="1"/>
    </xf>
    <xf numFmtId="0" fontId="63" fillId="4" borderId="57" xfId="14" applyFont="1" applyFill="1" applyBorder="1" applyAlignment="1">
      <alignment horizontal="left" vertical="center" wrapText="1"/>
    </xf>
    <xf numFmtId="170" fontId="66" fillId="4" borderId="56" xfId="14" applyNumberFormat="1" applyFont="1" applyFill="1" applyBorder="1" applyAlignment="1">
      <alignment horizontal="right" vertical="center"/>
    </xf>
    <xf numFmtId="0" fontId="63" fillId="4" borderId="57" xfId="14" applyFont="1" applyFill="1" applyBorder="1" applyAlignment="1">
      <alignment horizontal="center" vertical="center"/>
    </xf>
    <xf numFmtId="0" fontId="63" fillId="4" borderId="57" xfId="14" applyFont="1" applyFill="1" applyBorder="1" applyAlignment="1">
      <alignment horizontal="center" vertical="center" wrapText="1"/>
    </xf>
    <xf numFmtId="170" fontId="63" fillId="4" borderId="56" xfId="14" applyNumberFormat="1" applyFont="1" applyFill="1" applyBorder="1" applyAlignment="1">
      <alignment horizontal="center" vertical="center"/>
    </xf>
    <xf numFmtId="170" fontId="63" fillId="4" borderId="0" xfId="14" applyNumberFormat="1" applyFont="1" applyFill="1" applyBorder="1" applyAlignment="1">
      <alignment horizontal="center" vertical="center"/>
    </xf>
    <xf numFmtId="170" fontId="63" fillId="4" borderId="0" xfId="14" applyNumberFormat="1" applyFont="1" applyFill="1" applyBorder="1" applyAlignment="1">
      <alignment horizontal="right" vertical="center"/>
    </xf>
    <xf numFmtId="170" fontId="64" fillId="4" borderId="0" xfId="14" applyNumberFormat="1" applyFont="1" applyFill="1" applyBorder="1" applyAlignment="1">
      <alignment horizontal="center" vertical="center"/>
    </xf>
    <xf numFmtId="2" fontId="63" fillId="4" borderId="0" xfId="14" applyNumberFormat="1" applyFont="1" applyFill="1" applyBorder="1" applyAlignment="1">
      <alignment horizontal="left" vertical="center"/>
    </xf>
    <xf numFmtId="0" fontId="63" fillId="4" borderId="18" xfId="14" applyFont="1" applyFill="1" applyBorder="1" applyAlignment="1">
      <alignment vertical="center"/>
    </xf>
    <xf numFmtId="170" fontId="63" fillId="4" borderId="16" xfId="14" applyNumberFormat="1" applyFont="1" applyFill="1" applyBorder="1" applyAlignment="1">
      <alignment horizontal="right" vertical="center"/>
    </xf>
    <xf numFmtId="166" fontId="63" fillId="4" borderId="23" xfId="14" applyNumberFormat="1" applyFont="1" applyFill="1" applyBorder="1" applyAlignment="1">
      <alignment vertical="center"/>
    </xf>
    <xf numFmtId="168" fontId="62" fillId="4" borderId="0" xfId="9" applyNumberFormat="1" applyFont="1" applyFill="1"/>
    <xf numFmtId="170" fontId="62" fillId="4" borderId="0" xfId="9" applyNumberFormat="1" applyFont="1" applyFill="1"/>
    <xf numFmtId="170" fontId="64" fillId="4" borderId="31" xfId="14" applyNumberFormat="1" applyFont="1" applyFill="1" applyBorder="1" applyAlignment="1">
      <alignment horizontal="center" vertical="center"/>
    </xf>
    <xf numFmtId="170" fontId="63" fillId="4" borderId="23" xfId="14" applyNumberFormat="1" applyFont="1" applyFill="1" applyBorder="1" applyAlignment="1">
      <alignment horizontal="left" vertical="center"/>
    </xf>
    <xf numFmtId="170" fontId="63" fillId="4" borderId="31" xfId="14" applyNumberFormat="1" applyFont="1" applyFill="1" applyBorder="1" applyAlignment="1">
      <alignment horizontal="center" vertical="center"/>
    </xf>
    <xf numFmtId="0" fontId="64" fillId="4" borderId="23" xfId="14" applyFont="1" applyFill="1" applyBorder="1" applyAlignment="1">
      <alignment horizontal="center" vertical="center"/>
    </xf>
    <xf numFmtId="166" fontId="64" fillId="4" borderId="19" xfId="14" applyNumberFormat="1" applyFont="1" applyFill="1" applyBorder="1" applyAlignment="1">
      <alignment vertical="center"/>
    </xf>
    <xf numFmtId="0" fontId="63" fillId="4" borderId="19" xfId="14" applyFont="1" applyFill="1" applyBorder="1" applyAlignment="1">
      <alignment vertical="center"/>
    </xf>
    <xf numFmtId="0" fontId="63" fillId="4" borderId="19" xfId="14" applyFont="1" applyFill="1" applyBorder="1" applyAlignment="1">
      <alignment horizontal="center" vertical="center"/>
    </xf>
    <xf numFmtId="0" fontId="63" fillId="4" borderId="25" xfId="14" applyFont="1" applyFill="1" applyBorder="1" applyAlignment="1">
      <alignment horizontal="left" vertical="center"/>
    </xf>
    <xf numFmtId="166" fontId="64" fillId="4" borderId="22" xfId="14" applyNumberFormat="1" applyFont="1" applyFill="1" applyBorder="1" applyAlignment="1">
      <alignment vertical="center"/>
    </xf>
    <xf numFmtId="2" fontId="63" fillId="4" borderId="24" xfId="14" applyNumberFormat="1" applyFont="1" applyFill="1" applyBorder="1" applyAlignment="1">
      <alignment horizontal="center" vertical="center"/>
    </xf>
    <xf numFmtId="0" fontId="63" fillId="4" borderId="22" xfId="14" applyFont="1" applyFill="1" applyBorder="1" applyAlignment="1">
      <alignment vertical="center"/>
    </xf>
    <xf numFmtId="170" fontId="63" fillId="4" borderId="31" xfId="14" applyNumberFormat="1" applyFont="1" applyFill="1" applyBorder="1" applyAlignment="1">
      <alignment horizontal="right" vertical="center"/>
    </xf>
    <xf numFmtId="0" fontId="63" fillId="4" borderId="21" xfId="14" applyFont="1" applyFill="1" applyBorder="1" applyAlignment="1">
      <alignment horizontal="left" vertical="center"/>
    </xf>
    <xf numFmtId="0" fontId="63" fillId="4" borderId="23" xfId="14" applyFont="1" applyFill="1" applyBorder="1" applyAlignment="1">
      <alignment horizontal="left" vertical="center"/>
    </xf>
    <xf numFmtId="170" fontId="63" fillId="4" borderId="32" xfId="14" applyNumberFormat="1" applyFont="1" applyFill="1" applyBorder="1" applyAlignment="1">
      <alignment horizontal="center" vertical="center"/>
    </xf>
    <xf numFmtId="0" fontId="63" fillId="4" borderId="9" xfId="14" applyFont="1" applyFill="1" applyBorder="1" applyAlignment="1">
      <alignment horizontal="left" vertical="center"/>
    </xf>
    <xf numFmtId="0" fontId="63" fillId="4" borderId="0" xfId="14" applyFont="1" applyFill="1" applyBorder="1" applyAlignment="1">
      <alignment horizontal="left" vertical="center"/>
    </xf>
    <xf numFmtId="0" fontId="63" fillId="4" borderId="57" xfId="14" applyFont="1" applyFill="1" applyBorder="1" applyAlignment="1">
      <alignment horizontal="left" vertical="center"/>
    </xf>
    <xf numFmtId="0" fontId="63" fillId="4" borderId="99" xfId="14" applyFont="1" applyFill="1" applyBorder="1" applyAlignment="1">
      <alignment horizontal="center" vertical="center"/>
    </xf>
    <xf numFmtId="170" fontId="66" fillId="4" borderId="27" xfId="14" applyNumberFormat="1" applyFont="1" applyFill="1" applyBorder="1" applyAlignment="1">
      <alignment horizontal="right" vertical="center"/>
    </xf>
    <xf numFmtId="0" fontId="63" fillId="4" borderId="29" xfId="14" applyFont="1" applyFill="1" applyBorder="1" applyAlignment="1">
      <alignment horizontal="center" vertical="center"/>
    </xf>
    <xf numFmtId="170" fontId="63" fillId="4" borderId="27" xfId="14" applyNumberFormat="1" applyFont="1" applyFill="1" applyBorder="1" applyAlignment="1">
      <alignment horizontal="center" vertical="center"/>
    </xf>
    <xf numFmtId="2" fontId="63" fillId="4" borderId="28" xfId="14" applyNumberFormat="1" applyFont="1" applyFill="1" applyBorder="1" applyAlignment="1">
      <alignment horizontal="center" vertical="center"/>
    </xf>
    <xf numFmtId="170" fontId="63" fillId="4" borderId="28" xfId="14" applyNumberFormat="1" applyFont="1" applyFill="1" applyBorder="1" applyAlignment="1">
      <alignment horizontal="center" vertical="center"/>
    </xf>
    <xf numFmtId="170" fontId="64" fillId="4" borderId="28" xfId="14" applyNumberFormat="1" applyFont="1" applyFill="1" applyBorder="1" applyAlignment="1">
      <alignment horizontal="center" vertical="center"/>
    </xf>
    <xf numFmtId="2" fontId="63" fillId="4" borderId="28" xfId="14" applyNumberFormat="1" applyFont="1" applyFill="1" applyBorder="1" applyAlignment="1">
      <alignment horizontal="right" vertical="center"/>
    </xf>
    <xf numFmtId="0" fontId="62" fillId="4" borderId="28" xfId="9" applyFont="1" applyFill="1" applyBorder="1" applyAlignment="1">
      <alignment horizontal="left" vertical="center"/>
    </xf>
    <xf numFmtId="0" fontId="4" fillId="4" borderId="29" xfId="9" applyFill="1" applyBorder="1" applyAlignment="1">
      <alignment horizontal="left" vertical="center"/>
    </xf>
    <xf numFmtId="2" fontId="63" fillId="4" borderId="35" xfId="14" applyNumberFormat="1" applyFont="1" applyFill="1" applyBorder="1" applyAlignment="1">
      <alignment horizontal="center" vertical="center"/>
    </xf>
    <xf numFmtId="165" fontId="63" fillId="4" borderId="23" xfId="14" applyNumberFormat="1" applyFont="1" applyFill="1" applyBorder="1" applyAlignment="1">
      <alignment vertical="center"/>
    </xf>
    <xf numFmtId="2" fontId="64" fillId="4" borderId="28" xfId="14" applyNumberFormat="1" applyFont="1" applyFill="1" applyBorder="1" applyAlignment="1">
      <alignment horizontal="center" vertical="center"/>
    </xf>
    <xf numFmtId="2" fontId="63" fillId="4" borderId="156" xfId="14" applyNumberFormat="1" applyFont="1" applyFill="1" applyBorder="1" applyAlignment="1">
      <alignment horizontal="center" vertical="center"/>
    </xf>
    <xf numFmtId="0" fontId="63" fillId="4" borderId="42" xfId="14" applyFont="1" applyFill="1" applyBorder="1" applyAlignment="1">
      <alignment vertical="center"/>
    </xf>
    <xf numFmtId="0" fontId="64" fillId="4" borderId="30" xfId="14" applyFont="1" applyFill="1" applyBorder="1" applyAlignment="1">
      <alignment horizontal="center" vertical="center"/>
    </xf>
    <xf numFmtId="166" fontId="64" fillId="4" borderId="32" xfId="14" applyNumberFormat="1" applyFont="1" applyFill="1" applyBorder="1" applyAlignment="1">
      <alignment vertical="center"/>
    </xf>
    <xf numFmtId="0" fontId="63" fillId="4" borderId="33" xfId="14" applyFont="1" applyFill="1" applyBorder="1" applyAlignment="1">
      <alignment vertical="center"/>
    </xf>
    <xf numFmtId="0" fontId="63" fillId="4" borderId="33" xfId="14" applyFont="1" applyFill="1" applyBorder="1" applyAlignment="1">
      <alignment horizontal="center" vertical="center"/>
    </xf>
    <xf numFmtId="2" fontId="63" fillId="4" borderId="31" xfId="14" applyNumberFormat="1" applyFont="1" applyFill="1" applyBorder="1" applyAlignment="1">
      <alignment horizontal="center" vertical="center"/>
    </xf>
    <xf numFmtId="2" fontId="63" fillId="4" borderId="32" xfId="14" applyNumberFormat="1" applyFont="1" applyFill="1" applyBorder="1" applyAlignment="1">
      <alignment horizontal="right" vertical="center"/>
    </xf>
    <xf numFmtId="2" fontId="63" fillId="4" borderId="27" xfId="14" applyNumberFormat="1" applyFont="1" applyFill="1" applyBorder="1" applyAlignment="1">
      <alignment horizontal="center" vertical="center"/>
    </xf>
    <xf numFmtId="170" fontId="63" fillId="4" borderId="41" xfId="14" applyNumberFormat="1" applyFont="1" applyFill="1" applyBorder="1" applyAlignment="1">
      <alignment horizontal="right" vertical="center"/>
    </xf>
    <xf numFmtId="2" fontId="63" fillId="4" borderId="42" xfId="14" applyNumberFormat="1" applyFont="1" applyFill="1" applyBorder="1" applyAlignment="1">
      <alignment horizontal="right" vertical="center"/>
    </xf>
    <xf numFmtId="165" fontId="63" fillId="4" borderId="22" xfId="14" applyNumberFormat="1" applyFont="1" applyFill="1" applyBorder="1" applyAlignment="1">
      <alignment horizontal="left" vertical="center"/>
    </xf>
    <xf numFmtId="0" fontId="62" fillId="4" borderId="42" xfId="9" applyFont="1" applyFill="1" applyBorder="1" applyAlignment="1">
      <alignment horizontal="left" vertical="center"/>
    </xf>
    <xf numFmtId="0" fontId="4" fillId="4" borderId="42" xfId="9" applyFill="1" applyBorder="1" applyAlignment="1">
      <alignment horizontal="left" vertical="center"/>
    </xf>
    <xf numFmtId="0" fontId="63" fillId="4" borderId="42" xfId="14" applyFont="1" applyFill="1" applyBorder="1" applyAlignment="1">
      <alignment horizontal="center" vertical="center"/>
    </xf>
    <xf numFmtId="0" fontId="63" fillId="4" borderId="96" xfId="14" applyFont="1" applyFill="1" applyBorder="1" applyAlignment="1">
      <alignment horizontal="center" vertical="center"/>
    </xf>
    <xf numFmtId="0" fontId="64" fillId="4" borderId="32" xfId="14" applyFont="1" applyFill="1" applyBorder="1" applyAlignment="1">
      <alignment vertical="center"/>
    </xf>
    <xf numFmtId="0" fontId="63" fillId="4" borderId="32" xfId="14" applyFont="1" applyFill="1" applyBorder="1" applyAlignment="1">
      <alignment horizontal="center" vertical="center"/>
    </xf>
    <xf numFmtId="0" fontId="63" fillId="4" borderId="34" xfId="14" applyFont="1" applyFill="1" applyBorder="1" applyAlignment="1">
      <alignment horizontal="center" vertical="center"/>
    </xf>
    <xf numFmtId="0" fontId="63" fillId="4" borderId="32" xfId="14" applyFont="1" applyFill="1" applyBorder="1" applyAlignment="1">
      <alignment horizontal="right" vertical="center"/>
    </xf>
    <xf numFmtId="0" fontId="63" fillId="4" borderId="35" xfId="14" applyFont="1" applyFill="1" applyBorder="1" applyAlignment="1">
      <alignment horizontal="center" vertical="center"/>
    </xf>
    <xf numFmtId="0" fontId="63" fillId="4" borderId="25" xfId="14" applyFont="1" applyFill="1" applyBorder="1" applyAlignment="1">
      <alignment horizontal="center" vertical="center"/>
    </xf>
    <xf numFmtId="0" fontId="63" fillId="4" borderId="23" xfId="14" applyFont="1" applyFill="1" applyBorder="1" applyAlignment="1">
      <alignment horizontal="right" vertical="center"/>
    </xf>
    <xf numFmtId="0" fontId="63" fillId="4" borderId="26" xfId="14" applyFont="1" applyFill="1" applyBorder="1" applyAlignment="1">
      <alignment horizontal="center" vertical="center"/>
    </xf>
    <xf numFmtId="0" fontId="63" fillId="4" borderId="158" xfId="14" applyFont="1" applyFill="1" applyBorder="1" applyAlignment="1">
      <alignment horizontal="center" vertical="center"/>
    </xf>
    <xf numFmtId="0" fontId="63" fillId="4" borderId="79" xfId="14" applyFont="1" applyFill="1" applyBorder="1" applyAlignment="1">
      <alignment vertical="center"/>
    </xf>
    <xf numFmtId="0" fontId="63" fillId="4" borderId="79" xfId="14" applyFont="1" applyFill="1" applyBorder="1" applyAlignment="1">
      <alignment horizontal="center" vertical="center"/>
    </xf>
    <xf numFmtId="2" fontId="63" fillId="4" borderId="159" xfId="14" applyNumberFormat="1" applyFont="1" applyFill="1" applyBorder="1" applyAlignment="1">
      <alignment horizontal="right" vertical="center"/>
    </xf>
    <xf numFmtId="0" fontId="63" fillId="4" borderId="160" xfId="14" applyFont="1" applyFill="1" applyBorder="1" applyAlignment="1">
      <alignment horizontal="center" vertical="center"/>
    </xf>
    <xf numFmtId="0" fontId="63" fillId="4" borderId="79" xfId="14" applyFont="1" applyFill="1" applyBorder="1" applyAlignment="1">
      <alignment horizontal="right" vertical="center"/>
    </xf>
    <xf numFmtId="0" fontId="63" fillId="4" borderId="161" xfId="14" applyFont="1" applyFill="1" applyBorder="1" applyAlignment="1">
      <alignment horizontal="center" vertical="center"/>
    </xf>
    <xf numFmtId="0" fontId="91" fillId="4" borderId="0" xfId="8" applyFont="1" applyFill="1" applyBorder="1"/>
    <xf numFmtId="0" fontId="12" fillId="4" borderId="0" xfId="153" applyFont="1" applyFill="1"/>
    <xf numFmtId="0" fontId="12" fillId="4" borderId="0" xfId="153" applyFont="1" applyFill="1" applyAlignment="1">
      <alignment horizontal="right"/>
    </xf>
    <xf numFmtId="187" fontId="12" fillId="4" borderId="0" xfId="153" applyNumberFormat="1" applyFont="1" applyFill="1"/>
    <xf numFmtId="187" fontId="12" fillId="4" borderId="0" xfId="153" applyNumberFormat="1" applyFont="1" applyFill="1" applyAlignment="1">
      <alignment horizontal="right"/>
    </xf>
    <xf numFmtId="0" fontId="90" fillId="4" borderId="0" xfId="8" applyFont="1" applyFill="1" applyBorder="1" applyAlignment="1">
      <alignment horizontal="center"/>
    </xf>
    <xf numFmtId="0" fontId="90" fillId="4" borderId="0" xfId="8" applyFont="1" applyFill="1" applyBorder="1" applyAlignment="1"/>
    <xf numFmtId="187" fontId="90" fillId="4" borderId="0" xfId="8" applyNumberFormat="1" applyFont="1" applyFill="1" applyBorder="1" applyAlignment="1"/>
    <xf numFmtId="0" fontId="12" fillId="4" borderId="0" xfId="153" applyFont="1" applyFill="1" applyAlignment="1">
      <alignment horizontal="center"/>
    </xf>
    <xf numFmtId="187" fontId="12" fillId="4" borderId="0" xfId="68" applyNumberFormat="1" applyFont="1" applyFill="1" applyBorder="1" applyAlignment="1">
      <alignment vertical="center"/>
    </xf>
    <xf numFmtId="0" fontId="90" fillId="4" borderId="0" xfId="8" applyFont="1" applyFill="1" applyBorder="1" applyAlignment="1">
      <alignment horizontal="left"/>
    </xf>
    <xf numFmtId="0" fontId="90" fillId="4" borderId="0" xfId="8" applyFont="1" applyFill="1" applyBorder="1"/>
    <xf numFmtId="179" fontId="12" fillId="4" borderId="0" xfId="68" applyNumberFormat="1" applyFont="1" applyFill="1" applyBorder="1" applyAlignment="1">
      <alignment vertical="center"/>
    </xf>
    <xf numFmtId="189" fontId="90" fillId="4" borderId="0" xfId="8" applyNumberFormat="1" applyFont="1" applyFill="1" applyBorder="1"/>
    <xf numFmtId="187" fontId="90" fillId="4" borderId="0" xfId="8" applyNumberFormat="1" applyFont="1" applyFill="1" applyBorder="1"/>
    <xf numFmtId="0" fontId="12" fillId="4" borderId="0" xfId="153" applyFont="1" applyFill="1" applyBorder="1" applyAlignment="1">
      <alignment horizontal="left" vertical="center"/>
    </xf>
    <xf numFmtId="9" fontId="90" fillId="4" borderId="0" xfId="8" applyNumberFormat="1" applyFont="1" applyFill="1" applyBorder="1" applyAlignment="1">
      <alignment horizontal="left"/>
    </xf>
    <xf numFmtId="0" fontId="43" fillId="4" borderId="0" xfId="0" applyFont="1" applyFill="1"/>
    <xf numFmtId="0" fontId="94" fillId="4" borderId="0" xfId="0" applyFont="1" applyFill="1" applyAlignment="1">
      <alignment horizontal="center"/>
    </xf>
    <xf numFmtId="178" fontId="94" fillId="4" borderId="0" xfId="0" applyNumberFormat="1" applyFont="1" applyFill="1"/>
    <xf numFmtId="165" fontId="94" fillId="4" borderId="0" xfId="1" applyFont="1" applyFill="1"/>
    <xf numFmtId="0" fontId="94" fillId="4" borderId="0" xfId="0" applyFont="1" applyFill="1" applyBorder="1" applyAlignment="1">
      <alignment vertical="center" wrapText="1"/>
    </xf>
    <xf numFmtId="0" fontId="94" fillId="4" borderId="0" xfId="0" applyFont="1" applyFill="1" applyBorder="1" applyAlignment="1">
      <alignment horizontal="center" vertical="center" wrapText="1"/>
    </xf>
    <xf numFmtId="178" fontId="94" fillId="4" borderId="0" xfId="0" applyNumberFormat="1" applyFont="1" applyFill="1" applyBorder="1" applyAlignment="1">
      <alignment vertical="center" wrapText="1"/>
    </xf>
    <xf numFmtId="165" fontId="94" fillId="4" borderId="0" xfId="1" applyFont="1" applyFill="1" applyBorder="1" applyAlignment="1">
      <alignment horizontal="center" vertical="center" wrapText="1"/>
    </xf>
    <xf numFmtId="0" fontId="94" fillId="4" borderId="0" xfId="0" applyFont="1" applyFill="1" applyBorder="1"/>
    <xf numFmtId="0" fontId="94" fillId="4" borderId="0" xfId="0" applyFont="1" applyFill="1" applyBorder="1" applyAlignment="1">
      <alignment horizontal="center"/>
    </xf>
    <xf numFmtId="178" fontId="94" fillId="4" borderId="0" xfId="0" applyNumberFormat="1" applyFont="1" applyFill="1" applyBorder="1"/>
    <xf numFmtId="165" fontId="94" fillId="4" borderId="0" xfId="1" applyFont="1" applyFill="1" applyBorder="1"/>
    <xf numFmtId="187" fontId="12" fillId="4" borderId="0" xfId="153" applyNumberFormat="1" applyFont="1" applyFill="1" applyBorder="1" applyAlignment="1">
      <alignment horizontal="right"/>
    </xf>
    <xf numFmtId="0" fontId="94" fillId="4" borderId="0" xfId="0" applyFont="1" applyFill="1" applyBorder="1" applyAlignment="1">
      <alignment wrapText="1"/>
    </xf>
    <xf numFmtId="167" fontId="94" fillId="4" borderId="0" xfId="1" applyNumberFormat="1" applyFont="1" applyFill="1" applyBorder="1"/>
    <xf numFmtId="165" fontId="94" fillId="4" borderId="0" xfId="1" applyNumberFormat="1" applyFont="1" applyFill="1" applyBorder="1"/>
    <xf numFmtId="165" fontId="43" fillId="4" borderId="0" xfId="1" applyFont="1" applyFill="1" applyBorder="1"/>
    <xf numFmtId="0" fontId="47" fillId="4" borderId="0" xfId="0" applyFont="1" applyFill="1"/>
    <xf numFmtId="0" fontId="48" fillId="4" borderId="0" xfId="0" applyFont="1" applyFill="1"/>
    <xf numFmtId="0" fontId="48" fillId="4" borderId="0" xfId="0" applyFont="1" applyFill="1" applyAlignment="1">
      <alignment horizontal="center"/>
    </xf>
    <xf numFmtId="178" fontId="48" fillId="4" borderId="0" xfId="0" applyNumberFormat="1" applyFont="1" applyFill="1"/>
    <xf numFmtId="165" fontId="48" fillId="4" borderId="0" xfId="1" applyFont="1" applyFill="1"/>
    <xf numFmtId="0" fontId="48" fillId="4" borderId="49" xfId="0" applyFont="1" applyFill="1" applyBorder="1" applyAlignment="1">
      <alignment vertical="center" wrapText="1"/>
    </xf>
    <xf numFmtId="0" fontId="48" fillId="4" borderId="49" xfId="0" applyFont="1" applyFill="1" applyBorder="1" applyAlignment="1">
      <alignment horizontal="center" vertical="center" wrapText="1"/>
    </xf>
    <xf numFmtId="178" fontId="48" fillId="4" borderId="49" xfId="0" applyNumberFormat="1" applyFont="1" applyFill="1" applyBorder="1" applyAlignment="1">
      <alignment vertical="center" wrapText="1"/>
    </xf>
    <xf numFmtId="165" fontId="48" fillId="4" borderId="49" xfId="1" applyFont="1" applyFill="1" applyBorder="1" applyAlignment="1">
      <alignment horizontal="center" vertical="center" wrapText="1"/>
    </xf>
    <xf numFmtId="0" fontId="48" fillId="4" borderId="19" xfId="0" applyFont="1" applyFill="1" applyBorder="1"/>
    <xf numFmtId="0" fontId="48" fillId="4" borderId="19" xfId="0" applyFont="1" applyFill="1" applyBorder="1" applyAlignment="1">
      <alignment horizontal="center"/>
    </xf>
    <xf numFmtId="178" fontId="48" fillId="4" borderId="19" xfId="0" applyNumberFormat="1" applyFont="1" applyFill="1" applyBorder="1"/>
    <xf numFmtId="165" fontId="48" fillId="4" borderId="19" xfId="1" applyFont="1" applyFill="1" applyBorder="1"/>
    <xf numFmtId="0" fontId="48" fillId="4" borderId="25" xfId="0" applyFont="1" applyFill="1" applyBorder="1"/>
    <xf numFmtId="0" fontId="48" fillId="4" borderId="25" xfId="0" applyFont="1" applyFill="1" applyBorder="1" applyAlignment="1">
      <alignment horizontal="center"/>
    </xf>
    <xf numFmtId="178" fontId="48" fillId="4" borderId="25" xfId="0" applyNumberFormat="1" applyFont="1" applyFill="1" applyBorder="1"/>
    <xf numFmtId="165" fontId="48" fillId="4" borderId="25" xfId="1" applyFont="1" applyFill="1" applyBorder="1"/>
    <xf numFmtId="0" fontId="48" fillId="4" borderId="101" xfId="0" applyFont="1" applyFill="1" applyBorder="1"/>
    <xf numFmtId="0" fontId="48" fillId="4" borderId="101" xfId="0" applyFont="1" applyFill="1" applyBorder="1" applyAlignment="1">
      <alignment horizontal="center"/>
    </xf>
    <xf numFmtId="178" fontId="48" fillId="4" borderId="101" xfId="0" applyNumberFormat="1" applyFont="1" applyFill="1" applyBorder="1"/>
    <xf numFmtId="165" fontId="48" fillId="4" borderId="101" xfId="1" applyFont="1" applyFill="1" applyBorder="1"/>
    <xf numFmtId="0" fontId="48" fillId="4" borderId="1" xfId="0" applyFont="1" applyFill="1" applyBorder="1"/>
    <xf numFmtId="0" fontId="48" fillId="4" borderId="4" xfId="0" applyFont="1" applyFill="1" applyBorder="1"/>
    <xf numFmtId="0" fontId="48" fillId="4" borderId="4" xfId="0" applyFont="1" applyFill="1" applyBorder="1" applyAlignment="1">
      <alignment horizontal="center"/>
    </xf>
    <xf numFmtId="178" fontId="48" fillId="4" borderId="4" xfId="0" applyNumberFormat="1" applyFont="1" applyFill="1" applyBorder="1"/>
    <xf numFmtId="165" fontId="48" fillId="4" borderId="2" xfId="1" applyFont="1" applyFill="1" applyBorder="1"/>
    <xf numFmtId="165" fontId="48" fillId="4" borderId="49" xfId="1" applyFont="1" applyFill="1" applyBorder="1"/>
    <xf numFmtId="0" fontId="48" fillId="4" borderId="10" xfId="0" applyFont="1" applyFill="1" applyBorder="1"/>
    <xf numFmtId="0" fontId="48" fillId="4" borderId="56" xfId="0" applyFont="1" applyFill="1" applyBorder="1"/>
    <xf numFmtId="0" fontId="48" fillId="4" borderId="64" xfId="0" applyFont="1" applyFill="1" applyBorder="1" applyAlignment="1">
      <alignment horizontal="center"/>
    </xf>
    <xf numFmtId="178" fontId="48" fillId="4" borderId="64" xfId="0" applyNumberFormat="1" applyFont="1" applyFill="1" applyBorder="1"/>
    <xf numFmtId="165" fontId="48" fillId="4" borderId="57" xfId="1" applyFont="1" applyFill="1" applyBorder="1"/>
    <xf numFmtId="165" fontId="48" fillId="4" borderId="10" xfId="1" applyFont="1" applyFill="1" applyBorder="1"/>
    <xf numFmtId="0" fontId="48" fillId="4" borderId="0" xfId="0" applyFont="1" applyFill="1" applyBorder="1"/>
    <xf numFmtId="0" fontId="48" fillId="4" borderId="10" xfId="0" applyFont="1" applyFill="1" applyBorder="1" applyAlignment="1">
      <alignment horizontal="center"/>
    </xf>
    <xf numFmtId="178" fontId="48" fillId="4" borderId="10" xfId="0" applyNumberFormat="1" applyFont="1" applyFill="1" applyBorder="1"/>
    <xf numFmtId="0" fontId="48" fillId="4" borderId="47" xfId="0" applyFont="1" applyFill="1" applyBorder="1" applyAlignment="1">
      <alignment horizontal="center"/>
    </xf>
    <xf numFmtId="178" fontId="48" fillId="4" borderId="47" xfId="0" applyNumberFormat="1" applyFont="1" applyFill="1" applyBorder="1"/>
    <xf numFmtId="165" fontId="48" fillId="4" borderId="4" xfId="1" applyFont="1" applyFill="1" applyBorder="1"/>
    <xf numFmtId="165" fontId="47" fillId="4" borderId="49" xfId="1" applyFont="1" applyFill="1" applyBorder="1"/>
    <xf numFmtId="0" fontId="48" fillId="4" borderId="47" xfId="0" applyFont="1" applyFill="1" applyBorder="1"/>
    <xf numFmtId="0" fontId="48" fillId="4" borderId="0" xfId="0" applyFont="1" applyFill="1" applyBorder="1" applyAlignment="1">
      <alignment horizontal="center"/>
    </xf>
    <xf numFmtId="178" fontId="48" fillId="4" borderId="0" xfId="0" applyNumberFormat="1" applyFont="1" applyFill="1" applyBorder="1"/>
    <xf numFmtId="165" fontId="48" fillId="4" borderId="0" xfId="1" applyFont="1" applyFill="1" applyBorder="1"/>
    <xf numFmtId="165" fontId="47" fillId="4" borderId="0" xfId="1" applyFont="1" applyFill="1" applyBorder="1"/>
    <xf numFmtId="0" fontId="48" fillId="4" borderId="22" xfId="0" applyFont="1" applyFill="1" applyBorder="1"/>
    <xf numFmtId="165" fontId="48" fillId="4" borderId="24" xfId="1" applyFont="1" applyFill="1" applyBorder="1"/>
    <xf numFmtId="0" fontId="48" fillId="4" borderId="41" xfId="0" applyFont="1" applyFill="1" applyBorder="1"/>
    <xf numFmtId="0" fontId="48" fillId="4" borderId="96" xfId="0" applyFont="1" applyFill="1" applyBorder="1"/>
    <xf numFmtId="0" fontId="48" fillId="4" borderId="96" xfId="0" applyFont="1" applyFill="1" applyBorder="1" applyAlignment="1">
      <alignment horizontal="center"/>
    </xf>
    <xf numFmtId="178" fontId="48" fillId="4" borderId="96" xfId="0" applyNumberFormat="1" applyFont="1" applyFill="1" applyBorder="1"/>
    <xf numFmtId="165" fontId="48" fillId="4" borderId="43" xfId="1" applyFont="1" applyFill="1" applyBorder="1"/>
    <xf numFmtId="165" fontId="48" fillId="4" borderId="96" xfId="1" applyFont="1" applyFill="1" applyBorder="1"/>
    <xf numFmtId="0" fontId="48" fillId="4" borderId="64" xfId="0" applyFont="1" applyFill="1" applyBorder="1"/>
    <xf numFmtId="165" fontId="48" fillId="4" borderId="64" xfId="1" applyFont="1" applyFill="1" applyBorder="1"/>
    <xf numFmtId="0" fontId="48" fillId="4" borderId="16" xfId="0" applyFont="1" applyFill="1" applyBorder="1"/>
    <xf numFmtId="0" fontId="48" fillId="4" borderId="19" xfId="0" applyFont="1" applyFill="1" applyBorder="1" applyAlignment="1">
      <alignment wrapText="1"/>
    </xf>
    <xf numFmtId="165" fontId="48" fillId="4" borderId="18" xfId="1" applyFont="1" applyFill="1" applyBorder="1"/>
    <xf numFmtId="0" fontId="62" fillId="4" borderId="54" xfId="0" applyFont="1" applyFill="1" applyBorder="1" applyAlignment="1">
      <alignment vertical="center"/>
    </xf>
    <xf numFmtId="0" fontId="62" fillId="4" borderId="55" xfId="0" applyFont="1" applyFill="1" applyBorder="1" applyAlignment="1">
      <alignment horizontal="center" vertical="center"/>
    </xf>
    <xf numFmtId="179" fontId="62" fillId="4" borderId="64" xfId="68" applyNumberFormat="1" applyFont="1" applyFill="1" applyBorder="1" applyAlignment="1">
      <alignment vertical="center"/>
    </xf>
    <xf numFmtId="0" fontId="62" fillId="4" borderId="56" xfId="0" applyFont="1" applyFill="1" applyBorder="1" applyAlignment="1">
      <alignment vertical="center"/>
    </xf>
    <xf numFmtId="0" fontId="62" fillId="4" borderId="57" xfId="200" applyFont="1" applyFill="1" applyBorder="1" applyAlignment="1">
      <alignment horizontal="center" vertical="center"/>
    </xf>
    <xf numFmtId="179" fontId="62" fillId="4" borderId="10" xfId="68" applyNumberFormat="1" applyFont="1" applyFill="1" applyBorder="1" applyAlignment="1">
      <alignment vertical="center"/>
    </xf>
    <xf numFmtId="0" fontId="62" fillId="4" borderId="66" xfId="0" applyFont="1" applyFill="1" applyBorder="1" applyAlignment="1">
      <alignment vertical="center"/>
    </xf>
    <xf numFmtId="0" fontId="62" fillId="4" borderId="67" xfId="200" applyFont="1" applyFill="1" applyBorder="1" applyAlignment="1">
      <alignment horizontal="center" vertical="center"/>
    </xf>
    <xf numFmtId="179" fontId="62" fillId="4" borderId="47" xfId="68" applyNumberFormat="1" applyFont="1" applyFill="1" applyBorder="1" applyAlignment="1">
      <alignment vertical="center"/>
    </xf>
    <xf numFmtId="0" fontId="48" fillId="4" borderId="5" xfId="0" applyFont="1" applyFill="1" applyBorder="1"/>
    <xf numFmtId="0" fontId="48" fillId="4" borderId="5" xfId="0" applyFont="1" applyFill="1" applyBorder="1" applyAlignment="1">
      <alignment horizontal="center"/>
    </xf>
    <xf numFmtId="178" fontId="48" fillId="4" borderId="5" xfId="0" applyNumberFormat="1" applyFont="1" applyFill="1" applyBorder="1"/>
    <xf numFmtId="0" fontId="48" fillId="4" borderId="10" xfId="0" applyFont="1" applyFill="1" applyBorder="1" applyAlignment="1">
      <alignment wrapText="1"/>
    </xf>
    <xf numFmtId="0" fontId="48" fillId="4" borderId="49" xfId="0" applyFont="1" applyFill="1" applyBorder="1"/>
    <xf numFmtId="0" fontId="48" fillId="4" borderId="54" xfId="0" applyFont="1" applyFill="1" applyBorder="1"/>
    <xf numFmtId="165" fontId="48" fillId="4" borderId="67" xfId="1" applyFont="1" applyFill="1" applyBorder="1"/>
    <xf numFmtId="165" fontId="48" fillId="4" borderId="47" xfId="1" applyFont="1" applyFill="1" applyBorder="1"/>
    <xf numFmtId="0" fontId="48" fillId="4" borderId="64" xfId="0" applyFont="1" applyFill="1" applyBorder="1" applyAlignment="1">
      <alignment wrapText="1"/>
    </xf>
    <xf numFmtId="165" fontId="48" fillId="4" borderId="55" xfId="1" applyFont="1" applyFill="1" applyBorder="1"/>
    <xf numFmtId="0" fontId="48" fillId="4" borderId="64" xfId="0" applyFont="1" applyFill="1" applyBorder="1" applyAlignment="1">
      <alignment vertical="center" wrapText="1"/>
    </xf>
    <xf numFmtId="179" fontId="62" fillId="4" borderId="19" xfId="68" applyNumberFormat="1" applyFont="1" applyFill="1" applyBorder="1" applyAlignment="1">
      <alignment vertical="center"/>
    </xf>
    <xf numFmtId="179" fontId="62" fillId="4" borderId="25" xfId="68" applyNumberFormat="1" applyFont="1" applyFill="1" applyBorder="1" applyAlignment="1">
      <alignment vertical="center"/>
    </xf>
    <xf numFmtId="179" fontId="62" fillId="4" borderId="96" xfId="68" applyNumberFormat="1" applyFont="1" applyFill="1" applyBorder="1" applyAlignment="1">
      <alignment vertical="center"/>
    </xf>
    <xf numFmtId="0" fontId="62" fillId="4" borderId="19" xfId="0" applyFont="1" applyFill="1" applyBorder="1" applyAlignment="1">
      <alignment vertical="center"/>
    </xf>
    <xf numFmtId="179" fontId="62" fillId="4" borderId="19" xfId="68" applyNumberFormat="1" applyFont="1" applyFill="1" applyBorder="1" applyAlignment="1">
      <alignment horizontal="center" vertical="center"/>
    </xf>
    <xf numFmtId="0" fontId="62" fillId="4" borderId="25" xfId="0" applyFont="1" applyFill="1" applyBorder="1" applyAlignment="1">
      <alignment vertical="center"/>
    </xf>
    <xf numFmtId="179" fontId="62" fillId="4" borderId="25" xfId="68" applyNumberFormat="1" applyFont="1" applyFill="1" applyBorder="1" applyAlignment="1">
      <alignment horizontal="center" vertical="center"/>
    </xf>
    <xf numFmtId="0" fontId="62" fillId="4" borderId="96" xfId="0" applyFont="1" applyFill="1" applyBorder="1" applyAlignment="1">
      <alignment vertical="center"/>
    </xf>
    <xf numFmtId="168" fontId="62" fillId="4" borderId="96" xfId="34" applyNumberFormat="1" applyFont="1" applyFill="1" applyBorder="1" applyAlignment="1">
      <alignment horizontal="center" vertical="center"/>
    </xf>
    <xf numFmtId="168" fontId="62" fillId="4" borderId="96" xfId="34" applyNumberFormat="1" applyFont="1" applyFill="1" applyBorder="1" applyAlignment="1">
      <alignment vertical="center"/>
    </xf>
    <xf numFmtId="0" fontId="48" fillId="4" borderId="49" xfId="0" applyFont="1" applyFill="1" applyBorder="1" applyAlignment="1">
      <alignment wrapText="1"/>
    </xf>
    <xf numFmtId="0" fontId="48" fillId="4" borderId="49" xfId="0" applyFont="1" applyFill="1" applyBorder="1" applyAlignment="1">
      <alignment horizontal="center"/>
    </xf>
    <xf numFmtId="178" fontId="48" fillId="4" borderId="49" xfId="0" applyNumberFormat="1" applyFont="1" applyFill="1" applyBorder="1"/>
    <xf numFmtId="0" fontId="48" fillId="4" borderId="34" xfId="0" applyFont="1" applyFill="1" applyBorder="1"/>
    <xf numFmtId="0" fontId="48" fillId="4" borderId="34" xfId="0" applyFont="1" applyFill="1" applyBorder="1" applyAlignment="1">
      <alignment horizontal="center"/>
    </xf>
    <xf numFmtId="178" fontId="48" fillId="4" borderId="34" xfId="0" applyNumberFormat="1" applyFont="1" applyFill="1" applyBorder="1"/>
    <xf numFmtId="165" fontId="48" fillId="4" borderId="34" xfId="1" applyFont="1" applyFill="1" applyBorder="1"/>
    <xf numFmtId="0" fontId="86" fillId="4" borderId="5" xfId="0" applyFont="1" applyFill="1" applyBorder="1" applyAlignment="1">
      <alignment vertical="center"/>
    </xf>
    <xf numFmtId="179" fontId="86" fillId="4" borderId="5" xfId="68" applyNumberFormat="1" applyFont="1" applyFill="1" applyBorder="1" applyAlignment="1">
      <alignment vertical="center"/>
    </xf>
    <xf numFmtId="0" fontId="86" fillId="4" borderId="5" xfId="0" applyFont="1" applyFill="1" applyBorder="1" applyAlignment="1">
      <alignment horizontal="center" vertical="center"/>
    </xf>
    <xf numFmtId="166" fontId="86" fillId="4" borderId="5" xfId="68" applyNumberFormat="1" applyFont="1" applyFill="1" applyBorder="1" applyAlignment="1">
      <alignment vertical="center"/>
    </xf>
    <xf numFmtId="165" fontId="48" fillId="4" borderId="5" xfId="1" applyFont="1" applyFill="1" applyBorder="1"/>
    <xf numFmtId="0" fontId="86" fillId="4" borderId="19" xfId="0" applyFont="1" applyFill="1" applyBorder="1" applyAlignment="1">
      <alignment horizontal="left" vertical="center"/>
    </xf>
    <xf numFmtId="0" fontId="86" fillId="4" borderId="19" xfId="0" applyFont="1" applyFill="1" applyBorder="1" applyAlignment="1">
      <alignment vertical="center"/>
    </xf>
    <xf numFmtId="186" fontId="86" fillId="4" borderId="19" xfId="133" applyNumberFormat="1" applyFont="1" applyFill="1" applyBorder="1" applyAlignment="1">
      <alignment vertical="center"/>
    </xf>
    <xf numFmtId="0" fontId="86" fillId="4" borderId="19" xfId="0" applyFont="1" applyFill="1" applyBorder="1" applyAlignment="1" applyProtection="1">
      <alignment horizontal="center" vertical="center"/>
    </xf>
    <xf numFmtId="166" fontId="86" fillId="4" borderId="19" xfId="68" applyNumberFormat="1" applyFont="1" applyFill="1" applyBorder="1" applyAlignment="1">
      <alignment vertical="center"/>
    </xf>
    <xf numFmtId="0" fontId="86" fillId="4" borderId="25" xfId="0" applyFont="1" applyFill="1" applyBorder="1" applyAlignment="1">
      <alignment horizontal="left" vertical="center"/>
    </xf>
    <xf numFmtId="0" fontId="86" fillId="4" borderId="25" xfId="0" applyFont="1" applyFill="1" applyBorder="1" applyAlignment="1">
      <alignment vertical="center"/>
    </xf>
    <xf numFmtId="186" fontId="86" fillId="4" borderId="25" xfId="133" applyNumberFormat="1" applyFont="1" applyFill="1" applyBorder="1" applyAlignment="1">
      <alignment vertical="center"/>
    </xf>
    <xf numFmtId="166" fontId="86" fillId="4" borderId="25" xfId="68" applyNumberFormat="1" applyFont="1" applyFill="1" applyBorder="1" applyAlignment="1">
      <alignment vertical="center"/>
    </xf>
    <xf numFmtId="0" fontId="48" fillId="4" borderId="96" xfId="0" applyFont="1" applyFill="1" applyBorder="1" applyAlignment="1">
      <alignment horizontal="left"/>
    </xf>
    <xf numFmtId="0" fontId="86" fillId="4" borderId="96" xfId="0" applyFont="1" applyFill="1" applyBorder="1" applyAlignment="1">
      <alignment vertical="center"/>
    </xf>
    <xf numFmtId="186" fontId="86" fillId="4" borderId="96" xfId="68" applyNumberFormat="1" applyFont="1" applyFill="1" applyBorder="1" applyAlignment="1">
      <alignment vertical="center"/>
    </xf>
    <xf numFmtId="167" fontId="48" fillId="4" borderId="96" xfId="1" applyNumberFormat="1" applyFont="1" applyFill="1" applyBorder="1"/>
    <xf numFmtId="0" fontId="48" fillId="4" borderId="1" xfId="0" applyFont="1" applyFill="1" applyBorder="1" applyAlignment="1">
      <alignment horizontal="left"/>
    </xf>
    <xf numFmtId="185" fontId="86" fillId="4" borderId="19" xfId="0" applyNumberFormat="1" applyFont="1" applyFill="1" applyBorder="1" applyAlignment="1" applyProtection="1">
      <alignment vertical="center"/>
    </xf>
    <xf numFmtId="0" fontId="85" fillId="4" borderId="96" xfId="0" applyFont="1" applyFill="1" applyBorder="1" applyAlignment="1">
      <alignment horizontal="left" vertical="center"/>
    </xf>
    <xf numFmtId="0" fontId="86" fillId="4" borderId="96" xfId="0" applyFont="1" applyFill="1" applyBorder="1" applyAlignment="1">
      <alignment horizontal="left" vertical="center"/>
    </xf>
    <xf numFmtId="185" fontId="86" fillId="4" borderId="96" xfId="0" applyNumberFormat="1" applyFont="1" applyFill="1" applyBorder="1" applyAlignment="1" applyProtection="1">
      <alignment horizontal="center" vertical="center"/>
    </xf>
    <xf numFmtId="0" fontId="86" fillId="4" borderId="96" xfId="0" applyFont="1" applyFill="1" applyBorder="1" applyAlignment="1" applyProtection="1">
      <alignment horizontal="center" vertical="center"/>
    </xf>
    <xf numFmtId="166" fontId="86" fillId="4" borderId="96" xfId="68" applyNumberFormat="1" applyFont="1" applyFill="1" applyBorder="1" applyAlignment="1">
      <alignment vertical="center"/>
    </xf>
    <xf numFmtId="0" fontId="85" fillId="4" borderId="101" xfId="0" applyFont="1" applyFill="1" applyBorder="1" applyAlignment="1">
      <alignment horizontal="left" vertical="center"/>
    </xf>
    <xf numFmtId="0" fontId="86" fillId="4" borderId="101" xfId="0" applyFont="1" applyFill="1" applyBorder="1" applyAlignment="1">
      <alignment horizontal="left" vertical="center"/>
    </xf>
    <xf numFmtId="185" fontId="86" fillId="4" borderId="101" xfId="0" applyNumberFormat="1" applyFont="1" applyFill="1" applyBorder="1" applyAlignment="1" applyProtection="1">
      <alignment horizontal="center" vertical="center"/>
    </xf>
    <xf numFmtId="0" fontId="86" fillId="4" borderId="101" xfId="0" applyFont="1" applyFill="1" applyBorder="1" applyAlignment="1" applyProtection="1">
      <alignment horizontal="center" vertical="center"/>
    </xf>
    <xf numFmtId="166" fontId="86" fillId="4" borderId="101" xfId="68" applyNumberFormat="1" applyFont="1" applyFill="1" applyBorder="1" applyAlignment="1">
      <alignment vertical="center"/>
    </xf>
    <xf numFmtId="0" fontId="85" fillId="4" borderId="66" xfId="0" applyFont="1" applyFill="1" applyBorder="1" applyAlignment="1">
      <alignment horizontal="left" vertical="center"/>
    </xf>
    <xf numFmtId="0" fontId="86" fillId="4" borderId="5" xfId="0" applyFont="1" applyFill="1" applyBorder="1" applyAlignment="1">
      <alignment horizontal="left" vertical="center"/>
    </xf>
    <xf numFmtId="185" fontId="86" fillId="4" borderId="5" xfId="0" applyNumberFormat="1" applyFont="1" applyFill="1" applyBorder="1" applyAlignment="1" applyProtection="1">
      <alignment horizontal="center" vertical="center"/>
    </xf>
    <xf numFmtId="0" fontId="86" fillId="4" borderId="5" xfId="0" applyFont="1" applyFill="1" applyBorder="1" applyAlignment="1" applyProtection="1">
      <alignment horizontal="center" vertical="center"/>
    </xf>
    <xf numFmtId="166" fontId="86" fillId="4" borderId="67" xfId="68" applyNumberFormat="1" applyFont="1" applyFill="1" applyBorder="1" applyAlignment="1">
      <alignment vertical="center"/>
    </xf>
    <xf numFmtId="0" fontId="48" fillId="4" borderId="96" xfId="0" applyFont="1" applyFill="1" applyBorder="1" applyAlignment="1">
      <alignment wrapText="1"/>
    </xf>
    <xf numFmtId="0" fontId="48" fillId="4" borderId="66" xfId="0" applyFont="1" applyFill="1" applyBorder="1"/>
    <xf numFmtId="191" fontId="62" fillId="4" borderId="25" xfId="207" quotePrefix="1" applyNumberFormat="1" applyFont="1" applyFill="1" applyBorder="1" applyAlignment="1">
      <alignment vertical="center"/>
    </xf>
    <xf numFmtId="191" fontId="62" fillId="4" borderId="96" xfId="207" quotePrefix="1" applyNumberFormat="1" applyFont="1" applyFill="1" applyBorder="1" applyAlignment="1">
      <alignment vertical="center"/>
    </xf>
    <xf numFmtId="0" fontId="92" fillId="4" borderId="19" xfId="0" applyFont="1" applyFill="1" applyBorder="1"/>
    <xf numFmtId="0" fontId="62" fillId="4" borderId="17" xfId="0" applyFont="1" applyFill="1" applyBorder="1" applyAlignment="1">
      <alignment horizontal="center" vertical="center"/>
    </xf>
    <xf numFmtId="0" fontId="92" fillId="4" borderId="25" xfId="0" applyFont="1" applyFill="1" applyBorder="1"/>
    <xf numFmtId="0" fontId="62" fillId="4" borderId="23" xfId="0" applyFont="1" applyFill="1" applyBorder="1" applyAlignment="1">
      <alignment horizontal="center" vertical="center"/>
    </xf>
    <xf numFmtId="0" fontId="92" fillId="4" borderId="96" xfId="0" applyFont="1" applyFill="1" applyBorder="1"/>
    <xf numFmtId="0" fontId="48" fillId="4" borderId="42" xfId="0" applyFont="1" applyFill="1" applyBorder="1" applyAlignment="1">
      <alignment horizontal="center"/>
    </xf>
    <xf numFmtId="0" fontId="62" fillId="4" borderId="42" xfId="0" applyFont="1" applyFill="1" applyBorder="1" applyAlignment="1">
      <alignment horizontal="center" vertical="center"/>
    </xf>
    <xf numFmtId="170" fontId="93" fillId="4" borderId="17" xfId="8" applyNumberFormat="1" applyFont="1" applyFill="1" applyBorder="1" applyAlignment="1">
      <alignment horizontal="center"/>
    </xf>
    <xf numFmtId="170" fontId="93" fillId="4" borderId="23" xfId="8" applyNumberFormat="1" applyFont="1" applyFill="1" applyBorder="1" applyAlignment="1">
      <alignment horizontal="center"/>
    </xf>
    <xf numFmtId="172" fontId="93" fillId="4" borderId="42" xfId="8" applyNumberFormat="1" applyFont="1" applyFill="1" applyBorder="1" applyAlignment="1">
      <alignment horizontal="center"/>
    </xf>
    <xf numFmtId="0" fontId="93" fillId="4" borderId="19" xfId="8" applyFont="1" applyFill="1" applyBorder="1"/>
    <xf numFmtId="0" fontId="93" fillId="4" borderId="19" xfId="8" applyFont="1" applyFill="1" applyBorder="1" applyAlignment="1">
      <alignment horizontal="center"/>
    </xf>
    <xf numFmtId="170" fontId="93" fillId="4" borderId="19" xfId="8" applyNumberFormat="1" applyFont="1" applyFill="1" applyBorder="1" applyAlignment="1">
      <alignment horizontal="center"/>
    </xf>
    <xf numFmtId="0" fontId="93" fillId="4" borderId="25" xfId="8" applyFont="1" applyFill="1" applyBorder="1"/>
    <xf numFmtId="0" fontId="93" fillId="4" borderId="25" xfId="8" applyFont="1" applyFill="1" applyBorder="1" applyAlignment="1">
      <alignment horizontal="center"/>
    </xf>
    <xf numFmtId="170" fontId="93" fillId="4" borderId="25" xfId="8" applyNumberFormat="1" applyFont="1" applyFill="1" applyBorder="1" applyAlignment="1">
      <alignment horizontal="center"/>
    </xf>
    <xf numFmtId="0" fontId="93" fillId="4" borderId="96" xfId="8" applyFont="1" applyFill="1" applyBorder="1"/>
    <xf numFmtId="0" fontId="93" fillId="4" borderId="96" xfId="8" applyFont="1" applyFill="1" applyBorder="1" applyAlignment="1">
      <alignment horizontal="center"/>
    </xf>
    <xf numFmtId="170" fontId="93" fillId="4" borderId="96" xfId="8" applyNumberFormat="1" applyFont="1" applyFill="1" applyBorder="1" applyAlignment="1">
      <alignment horizontal="center"/>
    </xf>
    <xf numFmtId="0" fontId="4" fillId="4" borderId="21" xfId="3" applyFont="1" applyFill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164" fontId="4" fillId="4" borderId="23" xfId="3" applyNumberFormat="1" applyFont="1" applyFill="1" applyBorder="1" applyAlignment="1">
      <alignment vertical="center"/>
    </xf>
    <xf numFmtId="0" fontId="6" fillId="4" borderId="23" xfId="3" applyFont="1" applyFill="1" applyBorder="1"/>
    <xf numFmtId="164" fontId="4" fillId="4" borderId="24" xfId="3" applyNumberFormat="1" applyFont="1" applyFill="1" applyBorder="1" applyAlignment="1">
      <alignment vertical="center"/>
    </xf>
    <xf numFmtId="174" fontId="4" fillId="4" borderId="24" xfId="4" applyNumberFormat="1" applyFont="1" applyFill="1" applyBorder="1" applyAlignment="1">
      <alignment vertical="center"/>
    </xf>
    <xf numFmtId="0" fontId="4" fillId="4" borderId="71" xfId="3" applyFont="1" applyFill="1" applyBorder="1" applyAlignment="1">
      <alignment horizontal="center" vertical="center"/>
    </xf>
    <xf numFmtId="0" fontId="4" fillId="4" borderId="0" xfId="3" applyFont="1" applyFill="1" applyBorder="1" applyAlignment="1">
      <alignment horizontal="center" vertical="center"/>
    </xf>
    <xf numFmtId="0" fontId="6" fillId="4" borderId="0" xfId="3" applyFont="1" applyFill="1"/>
    <xf numFmtId="164" fontId="31" fillId="4" borderId="0" xfId="3" applyNumberFormat="1" applyFont="1" applyFill="1" applyBorder="1"/>
    <xf numFmtId="174" fontId="32" fillId="4" borderId="0" xfId="4" applyNumberFormat="1" applyFont="1" applyFill="1" applyBorder="1"/>
    <xf numFmtId="174" fontId="43" fillId="4" borderId="0" xfId="4" applyNumberFormat="1" applyFont="1" applyFill="1" applyBorder="1"/>
    <xf numFmtId="166" fontId="6" fillId="4" borderId="0" xfId="3" applyNumberFormat="1" applyFont="1" applyFill="1"/>
    <xf numFmtId="166" fontId="6" fillId="4" borderId="0" xfId="2" applyFont="1" applyFill="1"/>
    <xf numFmtId="0" fontId="62" fillId="4" borderId="0" xfId="0" applyFont="1" applyFill="1" applyBorder="1" applyAlignment="1" applyProtection="1">
      <alignment horizontal="left" vertical="center"/>
    </xf>
    <xf numFmtId="165" fontId="20" fillId="4" borderId="23" xfId="1" applyFont="1" applyFill="1" applyBorder="1" applyAlignment="1">
      <alignment vertical="center"/>
    </xf>
    <xf numFmtId="0" fontId="6" fillId="4" borderId="71" xfId="3" applyFont="1" applyFill="1" applyBorder="1" applyAlignment="1">
      <alignment horizontal="center" vertical="center"/>
    </xf>
    <xf numFmtId="0" fontId="31" fillId="4" borderId="0" xfId="3" applyNumberFormat="1" applyFont="1" applyFill="1" applyBorder="1"/>
    <xf numFmtId="0" fontId="32" fillId="4" borderId="0" xfId="4" applyNumberFormat="1" applyFont="1" applyFill="1" applyBorder="1"/>
    <xf numFmtId="0" fontId="43" fillId="4" borderId="0" xfId="4" applyNumberFormat="1" applyFont="1" applyFill="1" applyBorder="1"/>
    <xf numFmtId="0" fontId="20" fillId="4" borderId="30" xfId="0" applyFont="1" applyFill="1" applyBorder="1" applyAlignment="1">
      <alignment horizontal="center" vertical="center"/>
    </xf>
    <xf numFmtId="165" fontId="20" fillId="4" borderId="32" xfId="1" applyFont="1" applyFill="1" applyBorder="1" applyAlignment="1">
      <alignment vertical="center"/>
    </xf>
    <xf numFmtId="0" fontId="20" fillId="4" borderId="32" xfId="0" applyFont="1" applyFill="1" applyBorder="1" applyAlignment="1">
      <alignment vertical="center"/>
    </xf>
    <xf numFmtId="0" fontId="20" fillId="4" borderId="33" xfId="0" applyFont="1" applyFill="1" applyBorder="1" applyAlignment="1">
      <alignment vertical="center"/>
    </xf>
    <xf numFmtId="168" fontId="20" fillId="4" borderId="34" xfId="1" applyNumberFormat="1" applyFont="1" applyFill="1" applyBorder="1" applyAlignment="1">
      <alignment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vertical="center"/>
    </xf>
    <xf numFmtId="167" fontId="20" fillId="4" borderId="33" xfId="1" applyNumberFormat="1" applyFont="1" applyFill="1" applyBorder="1" applyAlignment="1">
      <alignment vertical="center"/>
    </xf>
    <xf numFmtId="39" fontId="20" fillId="4" borderId="35" xfId="1" applyNumberFormat="1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168" fontId="20" fillId="4" borderId="25" xfId="1" applyNumberFormat="1" applyFont="1" applyFill="1" applyBorder="1" applyAlignment="1">
      <alignment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vertical="center"/>
    </xf>
    <xf numFmtId="167" fontId="20" fillId="4" borderId="24" xfId="1" applyNumberFormat="1" applyFont="1" applyFill="1" applyBorder="1" applyAlignment="1">
      <alignment vertical="center"/>
    </xf>
    <xf numFmtId="39" fontId="20" fillId="4" borderId="26" xfId="1" applyNumberFormat="1" applyFont="1" applyFill="1" applyBorder="1" applyAlignment="1">
      <alignment vertical="center"/>
    </xf>
    <xf numFmtId="0" fontId="28" fillId="4" borderId="21" xfId="0" applyFont="1" applyFill="1" applyBorder="1" applyAlignment="1">
      <alignment horizontal="center" vertical="center"/>
    </xf>
    <xf numFmtId="170" fontId="20" fillId="4" borderId="0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95" fillId="0" borderId="0" xfId="13" applyFont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3" fillId="0" borderId="0" xfId="13" applyFont="1" applyFill="1" applyBorder="1" applyAlignment="1">
      <alignment horizontal="left" vertical="center"/>
    </xf>
    <xf numFmtId="0" fontId="64" fillId="0" borderId="0" xfId="13" applyFont="1" applyFill="1" applyBorder="1" applyAlignment="1">
      <alignment vertical="center"/>
    </xf>
    <xf numFmtId="0" fontId="64" fillId="0" borderId="0" xfId="13" applyFont="1" applyFill="1" applyBorder="1" applyAlignment="1">
      <alignment horizontal="left" vertical="center"/>
    </xf>
    <xf numFmtId="39" fontId="12" fillId="0" borderId="0" xfId="208" applyFont="1"/>
    <xf numFmtId="37" fontId="85" fillId="0" borderId="0" xfId="209" applyNumberFormat="1" applyFont="1" applyBorder="1"/>
    <xf numFmtId="0" fontId="85" fillId="0" borderId="0" xfId="209" applyFont="1" applyBorder="1"/>
    <xf numFmtId="39" fontId="98" fillId="0" borderId="0" xfId="208" applyFont="1" applyBorder="1" applyProtection="1"/>
    <xf numFmtId="39" fontId="98" fillId="0" borderId="0" xfId="208" applyFont="1" applyFill="1" applyBorder="1" applyAlignment="1" applyProtection="1">
      <alignment horizontal="right"/>
    </xf>
    <xf numFmtId="192" fontId="98" fillId="4" borderId="163" xfId="68" applyNumberFormat="1" applyFont="1" applyFill="1" applyBorder="1" applyAlignment="1">
      <alignment horizontal="center"/>
    </xf>
    <xf numFmtId="192" fontId="98" fillId="4" borderId="164" xfId="68" applyNumberFormat="1" applyFont="1" applyFill="1" applyBorder="1" applyAlignment="1">
      <alignment horizontal="center"/>
    </xf>
    <xf numFmtId="39" fontId="12" fillId="0" borderId="0" xfId="208" applyFont="1" applyBorder="1"/>
    <xf numFmtId="37" fontId="98" fillId="0" borderId="165" xfId="208" applyNumberFormat="1" applyFont="1" applyBorder="1" applyAlignment="1" applyProtection="1">
      <alignment horizontal="center"/>
    </xf>
    <xf numFmtId="39" fontId="98" fillId="0" borderId="165" xfId="208" applyFont="1" applyBorder="1" applyAlignment="1" applyProtection="1">
      <alignment horizontal="left"/>
    </xf>
    <xf numFmtId="39" fontId="93" fillId="0" borderId="165" xfId="208" applyFont="1" applyBorder="1" applyProtection="1"/>
    <xf numFmtId="39" fontId="93" fillId="0" borderId="165" xfId="208" applyFont="1" applyFill="1" applyBorder="1" applyAlignment="1" applyProtection="1">
      <alignment horizontal="right"/>
    </xf>
    <xf numFmtId="0" fontId="93" fillId="0" borderId="165" xfId="208" applyNumberFormat="1" applyFont="1" applyBorder="1" applyAlignment="1">
      <alignment horizontal="center"/>
    </xf>
    <xf numFmtId="0" fontId="93" fillId="0" borderId="165" xfId="208" applyNumberFormat="1" applyFont="1" applyBorder="1"/>
    <xf numFmtId="0" fontId="93" fillId="0" borderId="165" xfId="208" applyNumberFormat="1" applyFont="1" applyFill="1" applyBorder="1" applyAlignment="1">
      <alignment horizontal="center" wrapText="1"/>
    </xf>
    <xf numFmtId="39" fontId="86" fillId="0" borderId="165" xfId="208" applyFont="1" applyBorder="1"/>
    <xf numFmtId="39" fontId="93" fillId="0" borderId="165" xfId="208" applyFont="1" applyBorder="1" applyAlignment="1" applyProtection="1">
      <alignment horizontal="right"/>
    </xf>
    <xf numFmtId="39" fontId="93" fillId="0" borderId="165" xfId="208" applyNumberFormat="1" applyFont="1" applyBorder="1" applyAlignment="1" applyProtection="1">
      <alignment horizontal="right"/>
    </xf>
    <xf numFmtId="39" fontId="86" fillId="0" borderId="166" xfId="208" applyFont="1" applyFill="1" applyBorder="1"/>
    <xf numFmtId="39" fontId="90" fillId="0" borderId="0" xfId="208" applyNumberFormat="1" applyFont="1" applyBorder="1" applyAlignment="1" applyProtection="1">
      <alignment horizontal="right"/>
    </xf>
    <xf numFmtId="0" fontId="47" fillId="4" borderId="167" xfId="210" applyFont="1" applyFill="1" applyBorder="1" applyAlignment="1">
      <alignment horizontal="center"/>
    </xf>
    <xf numFmtId="0" fontId="47" fillId="4" borderId="167" xfId="210" applyFont="1" applyFill="1" applyBorder="1"/>
    <xf numFmtId="0" fontId="48" fillId="4" borderId="167" xfId="210" applyFont="1" applyFill="1" applyBorder="1" applyAlignment="1">
      <alignment horizontal="center"/>
    </xf>
    <xf numFmtId="167" fontId="48" fillId="0" borderId="167" xfId="211" applyNumberFormat="1" applyFont="1" applyFill="1" applyBorder="1"/>
    <xf numFmtId="0" fontId="47" fillId="4" borderId="165" xfId="210" applyFont="1" applyFill="1" applyBorder="1" applyAlignment="1">
      <alignment horizontal="center"/>
    </xf>
    <xf numFmtId="0" fontId="47" fillId="4" borderId="165" xfId="210" applyFont="1" applyFill="1" applyBorder="1"/>
    <xf numFmtId="0" fontId="48" fillId="4" borderId="165" xfId="210" applyFont="1" applyFill="1" applyBorder="1" applyAlignment="1">
      <alignment horizontal="center"/>
    </xf>
    <xf numFmtId="167" fontId="48" fillId="0" borderId="165" xfId="211" applyNumberFormat="1" applyFont="1" applyFill="1" applyBorder="1"/>
    <xf numFmtId="39" fontId="47" fillId="0" borderId="165" xfId="208" applyFont="1" applyFill="1" applyBorder="1" applyAlignment="1">
      <alignment horizontal="left" vertical="center"/>
    </xf>
    <xf numFmtId="39" fontId="86" fillId="0" borderId="165" xfId="208" applyFont="1" applyFill="1" applyBorder="1" applyAlignment="1">
      <alignment horizontal="right"/>
    </xf>
    <xf numFmtId="39" fontId="99" fillId="0" borderId="0" xfId="208" applyFont="1" applyFill="1" applyBorder="1" applyAlignment="1">
      <alignment horizontal="left" vertical="center"/>
    </xf>
    <xf numFmtId="39" fontId="100" fillId="0" borderId="0" xfId="208" applyFont="1" applyFill="1" applyBorder="1" applyAlignment="1">
      <alignment horizontal="left" vertical="center"/>
    </xf>
    <xf numFmtId="39" fontId="48" fillId="0" borderId="165" xfId="208" applyFont="1" applyFill="1" applyBorder="1" applyAlignment="1">
      <alignment horizontal="left" vertical="center"/>
    </xf>
    <xf numFmtId="39" fontId="48" fillId="0" borderId="165" xfId="208" applyFont="1" applyFill="1" applyBorder="1" applyAlignment="1">
      <alignment horizontal="center" vertical="center"/>
    </xf>
    <xf numFmtId="37" fontId="86" fillId="0" borderId="165" xfId="208" applyNumberFormat="1" applyFont="1" applyFill="1" applyBorder="1" applyAlignment="1">
      <alignment horizontal="right"/>
    </xf>
    <xf numFmtId="165" fontId="101" fillId="0" borderId="0" xfId="208" applyNumberFormat="1" applyFont="1" applyFill="1" applyBorder="1" applyAlignment="1">
      <alignment vertical="center"/>
    </xf>
    <xf numFmtId="39" fontId="102" fillId="0" borderId="0" xfId="208" applyFont="1" applyFill="1" applyBorder="1" applyAlignment="1">
      <alignment horizontal="left" vertical="center"/>
    </xf>
    <xf numFmtId="39" fontId="102" fillId="0" borderId="0" xfId="208" applyFont="1" applyFill="1" applyBorder="1" applyAlignment="1">
      <alignment horizontal="center" vertical="center"/>
    </xf>
    <xf numFmtId="0" fontId="48" fillId="4" borderId="165" xfId="210" applyFont="1" applyFill="1" applyBorder="1"/>
    <xf numFmtId="39" fontId="103" fillId="0" borderId="0" xfId="208" applyFont="1" applyBorder="1"/>
    <xf numFmtId="39" fontId="86" fillId="0" borderId="165" xfId="208" applyFont="1" applyBorder="1" applyAlignment="1">
      <alignment horizontal="center"/>
    </xf>
    <xf numFmtId="39" fontId="101" fillId="0" borderId="0" xfId="208" applyFont="1" applyBorder="1"/>
    <xf numFmtId="39" fontId="85" fillId="0" borderId="165" xfId="208" applyFont="1" applyBorder="1"/>
    <xf numFmtId="39" fontId="86" fillId="0" borderId="165" xfId="208" applyFont="1" applyBorder="1" applyAlignment="1">
      <alignment horizontal="center" vertical="center"/>
    </xf>
    <xf numFmtId="0" fontId="48" fillId="4" borderId="166" xfId="210" applyFont="1" applyFill="1" applyBorder="1" applyAlignment="1">
      <alignment horizontal="center"/>
    </xf>
    <xf numFmtId="39" fontId="86" fillId="0" borderId="166" xfId="208" applyFont="1" applyBorder="1"/>
    <xf numFmtId="39" fontId="86" fillId="0" borderId="166" xfId="208" applyFont="1" applyBorder="1" applyAlignment="1">
      <alignment horizontal="center" vertical="center"/>
    </xf>
    <xf numFmtId="0" fontId="48" fillId="0" borderId="165" xfId="210" applyFont="1" applyFill="1" applyBorder="1" applyAlignment="1">
      <alignment horizontal="center"/>
    </xf>
    <xf numFmtId="0" fontId="48" fillId="0" borderId="165" xfId="210" applyFont="1" applyFill="1" applyBorder="1"/>
    <xf numFmtId="0" fontId="48" fillId="0" borderId="165" xfId="210" applyFont="1" applyFill="1" applyBorder="1" applyAlignment="1">
      <alignment horizontal="center" vertical="center"/>
    </xf>
    <xf numFmtId="0" fontId="48" fillId="4" borderId="164" xfId="210" applyFont="1" applyFill="1" applyBorder="1" applyAlignment="1">
      <alignment horizontal="center"/>
    </xf>
    <xf numFmtId="0" fontId="48" fillId="4" borderId="164" xfId="210" applyFont="1" applyFill="1" applyBorder="1"/>
    <xf numFmtId="167" fontId="48" fillId="0" borderId="164" xfId="211" applyNumberFormat="1" applyFont="1" applyFill="1" applyBorder="1"/>
    <xf numFmtId="0" fontId="48" fillId="4" borderId="0" xfId="210" applyFont="1" applyFill="1" applyAlignment="1">
      <alignment horizontal="center"/>
    </xf>
    <xf numFmtId="0" fontId="48" fillId="4" borderId="0" xfId="210" applyFont="1" applyFill="1"/>
    <xf numFmtId="167" fontId="48" fillId="0" borderId="0" xfId="211" applyNumberFormat="1" applyFont="1" applyFill="1"/>
    <xf numFmtId="39" fontId="86" fillId="0" borderId="0" xfId="208" applyFont="1"/>
    <xf numFmtId="39" fontId="86" fillId="0" borderId="0" xfId="208" applyFont="1" applyFill="1"/>
    <xf numFmtId="39" fontId="104" fillId="0" borderId="0" xfId="208" applyFont="1"/>
    <xf numFmtId="39" fontId="104" fillId="0" borderId="0" xfId="208" applyFont="1" applyFill="1"/>
    <xf numFmtId="39" fontId="12" fillId="0" borderId="0" xfId="208" applyFont="1" applyFill="1"/>
    <xf numFmtId="37" fontId="12" fillId="0" borderId="52" xfId="208" applyNumberFormat="1" applyFont="1" applyBorder="1"/>
    <xf numFmtId="39" fontId="12" fillId="0" borderId="0" xfId="208" applyFont="1" applyBorder="1" applyAlignment="1">
      <alignment horizontal="left"/>
    </xf>
    <xf numFmtId="39" fontId="12" fillId="0" borderId="53" xfId="208" applyFont="1" applyFill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165" fontId="20" fillId="0" borderId="82" xfId="0" applyNumberFormat="1" applyFont="1" applyBorder="1" applyAlignment="1">
      <alignment vertical="center"/>
    </xf>
    <xf numFmtId="0" fontId="20" fillId="0" borderId="101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165" fontId="20" fillId="0" borderId="17" xfId="0" applyNumberFormat="1" applyFont="1" applyBorder="1" applyAlignment="1">
      <alignment vertical="center"/>
    </xf>
    <xf numFmtId="165" fontId="20" fillId="0" borderId="32" xfId="0" applyNumberFormat="1" applyFont="1" applyBorder="1" applyAlignment="1">
      <alignment vertical="center"/>
    </xf>
    <xf numFmtId="165" fontId="20" fillId="0" borderId="23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8" fillId="0" borderId="5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96" fillId="0" borderId="0" xfId="0" applyFont="1"/>
    <xf numFmtId="0" fontId="105" fillId="0" borderId="0" xfId="0" applyFont="1" applyAlignment="1">
      <alignment horizontal="center" vertical="center"/>
    </xf>
    <xf numFmtId="167" fontId="20" fillId="0" borderId="5" xfId="1" applyNumberFormat="1" applyFont="1" applyBorder="1" applyAlignment="1">
      <alignment vertical="center"/>
    </xf>
    <xf numFmtId="39" fontId="20" fillId="0" borderId="157" xfId="1" applyNumberFormat="1" applyFont="1" applyBorder="1" applyAlignment="1">
      <alignment vertical="center"/>
    </xf>
    <xf numFmtId="166" fontId="20" fillId="0" borderId="18" xfId="2" applyFont="1" applyBorder="1" applyAlignment="1">
      <alignment vertical="center"/>
    </xf>
    <xf numFmtId="166" fontId="20" fillId="0" borderId="24" xfId="2" applyFont="1" applyBorder="1" applyAlignment="1">
      <alignment vertical="center"/>
    </xf>
    <xf numFmtId="166" fontId="20" fillId="0" borderId="20" xfId="2" applyFont="1" applyBorder="1" applyAlignment="1">
      <alignment vertical="center"/>
    </xf>
    <xf numFmtId="166" fontId="20" fillId="0" borderId="26" xfId="2" applyFont="1" applyBorder="1" applyAlignment="1">
      <alignment vertical="center"/>
    </xf>
    <xf numFmtId="166" fontId="28" fillId="0" borderId="36" xfId="2" applyFont="1" applyBorder="1" applyAlignment="1">
      <alignment vertical="center"/>
    </xf>
    <xf numFmtId="166" fontId="20" fillId="0" borderId="33" xfId="2" applyFont="1" applyBorder="1" applyAlignment="1">
      <alignment vertical="center"/>
    </xf>
    <xf numFmtId="0" fontId="4" fillId="4" borderId="24" xfId="9" applyFill="1" applyBorder="1" applyAlignment="1">
      <alignment horizontal="left" vertical="center"/>
    </xf>
    <xf numFmtId="0" fontId="4" fillId="4" borderId="29" xfId="9" applyFill="1" applyBorder="1" applyAlignment="1">
      <alignment horizontal="left" vertical="center"/>
    </xf>
    <xf numFmtId="0" fontId="63" fillId="4" borderId="25" xfId="14" applyFont="1" applyFill="1" applyBorder="1" applyAlignment="1">
      <alignment horizontal="left" vertical="center"/>
    </xf>
    <xf numFmtId="0" fontId="61" fillId="0" borderId="0" xfId="13" applyFont="1" applyFill="1" applyAlignment="1">
      <alignment horizontal="center" vertical="center"/>
    </xf>
    <xf numFmtId="0" fontId="106" fillId="0" borderId="0" xfId="13" applyFont="1" applyBorder="1" applyAlignment="1">
      <alignment vertical="center"/>
    </xf>
    <xf numFmtId="0" fontId="106" fillId="0" borderId="0" xfId="13" applyFont="1" applyBorder="1" applyAlignment="1">
      <alignment horizontal="left" vertical="center"/>
    </xf>
    <xf numFmtId="166" fontId="64" fillId="4" borderId="23" xfId="14" applyNumberFormat="1" applyFont="1" applyFill="1" applyBorder="1" applyAlignment="1">
      <alignment vertical="center"/>
    </xf>
    <xf numFmtId="165" fontId="63" fillId="4" borderId="23" xfId="14" applyNumberFormat="1" applyFont="1" applyFill="1" applyBorder="1" applyAlignment="1">
      <alignment horizontal="left" vertical="center"/>
    </xf>
    <xf numFmtId="0" fontId="63" fillId="4" borderId="22" xfId="14" applyFont="1" applyFill="1" applyBorder="1" applyAlignment="1">
      <alignment vertical="center" wrapText="1"/>
    </xf>
    <xf numFmtId="0" fontId="63" fillId="4" borderId="24" xfId="14" applyFont="1" applyFill="1" applyBorder="1" applyAlignment="1">
      <alignment vertical="center" wrapText="1"/>
    </xf>
    <xf numFmtId="0" fontId="63" fillId="4" borderId="23" xfId="14" applyFont="1" applyFill="1" applyBorder="1" applyAlignment="1">
      <alignment vertical="center" wrapText="1"/>
    </xf>
    <xf numFmtId="0" fontId="63" fillId="4" borderId="28" xfId="14" applyFont="1" applyFill="1" applyBorder="1" applyAlignment="1">
      <alignment horizontal="left" vertical="center"/>
    </xf>
    <xf numFmtId="170" fontId="64" fillId="4" borderId="28" xfId="14" applyNumberFormat="1" applyFont="1" applyFill="1" applyBorder="1" applyAlignment="1">
      <alignment horizontal="right" vertical="center"/>
    </xf>
    <xf numFmtId="0" fontId="64" fillId="4" borderId="89" xfId="14" applyFont="1" applyFill="1" applyBorder="1" applyAlignment="1">
      <alignment horizontal="center" vertical="center"/>
    </xf>
    <xf numFmtId="166" fontId="64" fillId="4" borderId="0" xfId="14" applyNumberFormat="1" applyFont="1" applyFill="1" applyBorder="1" applyAlignment="1">
      <alignment horizontal="left" vertical="center"/>
    </xf>
    <xf numFmtId="0" fontId="4" fillId="4" borderId="57" xfId="9" applyFill="1" applyBorder="1" applyAlignment="1">
      <alignment horizontal="left" vertical="center"/>
    </xf>
    <xf numFmtId="170" fontId="64" fillId="4" borderId="0" xfId="14" applyNumberFormat="1" applyFont="1" applyFill="1" applyBorder="1" applyAlignment="1">
      <alignment horizontal="right" vertical="center"/>
    </xf>
    <xf numFmtId="2" fontId="63" fillId="4" borderId="3" xfId="14" applyNumberFormat="1" applyFont="1" applyFill="1" applyBorder="1" applyAlignment="1">
      <alignment horizontal="center" vertical="center"/>
    </xf>
    <xf numFmtId="0" fontId="63" fillId="4" borderId="18" xfId="14" applyFont="1" applyFill="1" applyBorder="1" applyAlignment="1">
      <alignment horizontal="left" vertical="center"/>
    </xf>
    <xf numFmtId="2" fontId="64" fillId="4" borderId="17" xfId="14" applyNumberFormat="1" applyFont="1" applyFill="1" applyBorder="1" applyAlignment="1">
      <alignment horizontal="center" vertical="center"/>
    </xf>
    <xf numFmtId="0" fontId="63" fillId="4" borderId="29" xfId="14" applyFont="1" applyFill="1" applyBorder="1" applyAlignment="1">
      <alignment horizontal="left" vertical="center"/>
    </xf>
    <xf numFmtId="170" fontId="63" fillId="4" borderId="56" xfId="14" applyNumberFormat="1" applyFont="1" applyFill="1" applyBorder="1" applyAlignment="1">
      <alignment horizontal="right" vertical="center"/>
    </xf>
    <xf numFmtId="0" fontId="63" fillId="4" borderId="101" xfId="14" applyFont="1" applyFill="1" applyBorder="1" applyAlignment="1">
      <alignment horizontal="center" vertical="center" wrapText="1"/>
    </xf>
    <xf numFmtId="0" fontId="63" fillId="4" borderId="19" xfId="14" applyFont="1" applyFill="1" applyBorder="1" applyAlignment="1">
      <alignment horizontal="left" vertical="center"/>
    </xf>
    <xf numFmtId="0" fontId="63" fillId="4" borderId="19" xfId="14" applyFont="1" applyFill="1" applyBorder="1" applyAlignment="1">
      <alignment horizontal="center" vertical="center" wrapText="1"/>
    </xf>
    <xf numFmtId="0" fontId="62" fillId="4" borderId="41" xfId="9" applyFont="1" applyFill="1" applyBorder="1" applyAlignment="1">
      <alignment horizontal="left" vertical="center"/>
    </xf>
    <xf numFmtId="2" fontId="63" fillId="4" borderId="23" xfId="14" quotePrefix="1" applyNumberFormat="1" applyFont="1" applyFill="1" applyBorder="1" applyAlignment="1">
      <alignment horizontal="center" vertical="center"/>
    </xf>
    <xf numFmtId="0" fontId="62" fillId="4" borderId="23" xfId="9" applyFont="1" applyFill="1" applyBorder="1"/>
    <xf numFmtId="166" fontId="20" fillId="0" borderId="27" xfId="2" applyFont="1" applyBorder="1" applyAlignment="1">
      <alignment horizontal="right" vertical="center"/>
    </xf>
    <xf numFmtId="166" fontId="20" fillId="0" borderId="29" xfId="2" applyFont="1" applyBorder="1" applyAlignment="1">
      <alignment horizontal="right" vertical="center"/>
    </xf>
    <xf numFmtId="2" fontId="63" fillId="4" borderId="28" xfId="14" applyNumberFormat="1" applyFont="1" applyFill="1" applyBorder="1" applyAlignment="1">
      <alignment horizontal="left" vertical="center"/>
    </xf>
    <xf numFmtId="0" fontId="63" fillId="4" borderId="22" xfId="14" applyFont="1" applyFill="1" applyBorder="1" applyAlignment="1">
      <alignment horizontal="left" vertical="center"/>
    </xf>
    <xf numFmtId="0" fontId="63" fillId="4" borderId="23" xfId="14" applyFont="1" applyFill="1" applyBorder="1" applyAlignment="1">
      <alignment horizontal="left" vertical="center"/>
    </xf>
    <xf numFmtId="0" fontId="4" fillId="4" borderId="24" xfId="9" applyFill="1" applyBorder="1" applyAlignment="1">
      <alignment horizontal="left" vertical="center"/>
    </xf>
    <xf numFmtId="0" fontId="63" fillId="4" borderId="27" xfId="14" applyFont="1" applyFill="1" applyBorder="1" applyAlignment="1">
      <alignment horizontal="left" vertical="center"/>
    </xf>
    <xf numFmtId="0" fontId="63" fillId="4" borderId="28" xfId="14" applyFont="1" applyFill="1" applyBorder="1" applyAlignment="1">
      <alignment horizontal="left" vertical="center"/>
    </xf>
    <xf numFmtId="0" fontId="63" fillId="4" borderId="22" xfId="14" applyFont="1" applyFill="1" applyBorder="1" applyAlignment="1">
      <alignment horizontal="left" vertical="center" wrapText="1"/>
    </xf>
    <xf numFmtId="0" fontId="63" fillId="4" borderId="23" xfId="14" applyFont="1" applyFill="1" applyBorder="1" applyAlignment="1">
      <alignment horizontal="left" vertical="center" wrapText="1"/>
    </xf>
    <xf numFmtId="0" fontId="63" fillId="4" borderId="24" xfId="14" applyFont="1" applyFill="1" applyBorder="1" applyAlignment="1">
      <alignment horizontal="left" vertical="center" wrapText="1"/>
    </xf>
    <xf numFmtId="0" fontId="63" fillId="4" borderId="24" xfId="14" applyFont="1" applyFill="1" applyBorder="1" applyAlignment="1">
      <alignment horizontal="left" vertical="center"/>
    </xf>
    <xf numFmtId="0" fontId="63" fillId="4" borderId="24" xfId="14" applyFont="1" applyFill="1" applyBorder="1" applyAlignment="1">
      <alignment horizontal="left" vertical="center"/>
    </xf>
    <xf numFmtId="168" fontId="20" fillId="0" borderId="0" xfId="1" applyNumberFormat="1" applyFont="1" applyFill="1" applyBorder="1" applyAlignment="1">
      <alignment vertical="center"/>
    </xf>
    <xf numFmtId="166" fontId="20" fillId="0" borderId="57" xfId="2" applyFont="1" applyBorder="1" applyAlignment="1">
      <alignment vertical="center"/>
    </xf>
    <xf numFmtId="165" fontId="20" fillId="0" borderId="41" xfId="1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96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68" fontId="20" fillId="0" borderId="5" xfId="1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168" fontId="20" fillId="0" borderId="101" xfId="1" applyNumberFormat="1" applyFont="1" applyFill="1" applyBorder="1" applyAlignment="1">
      <alignment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39" fontId="20" fillId="0" borderId="156" xfId="1" applyNumberFormat="1" applyFont="1" applyBorder="1" applyAlignment="1">
      <alignment vertical="center"/>
    </xf>
    <xf numFmtId="0" fontId="20" fillId="0" borderId="68" xfId="0" applyFont="1" applyBorder="1" applyAlignment="1">
      <alignment horizontal="center" vertical="center"/>
    </xf>
    <xf numFmtId="168" fontId="20" fillId="0" borderId="23" xfId="1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165" fontId="20" fillId="0" borderId="5" xfId="1" applyFont="1" applyBorder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63" fillId="4" borderId="30" xfId="14" applyFont="1" applyFill="1" applyBorder="1" applyAlignment="1">
      <alignment horizontal="center" vertical="center"/>
    </xf>
    <xf numFmtId="0" fontId="63" fillId="4" borderId="32" xfId="14" applyFont="1" applyFill="1" applyBorder="1" applyAlignment="1">
      <alignment horizontal="left" vertical="center"/>
    </xf>
    <xf numFmtId="0" fontId="4" fillId="4" borderId="33" xfId="9" applyFill="1" applyBorder="1" applyAlignment="1">
      <alignment horizontal="left" vertical="center"/>
    </xf>
    <xf numFmtId="170" fontId="66" fillId="4" borderId="31" xfId="14" applyNumberFormat="1" applyFont="1" applyFill="1" applyBorder="1" applyAlignment="1">
      <alignment horizontal="right" vertical="center"/>
    </xf>
    <xf numFmtId="165" fontId="20" fillId="0" borderId="27" xfId="1" applyFont="1" applyBorder="1" applyAlignment="1">
      <alignment vertical="center"/>
    </xf>
    <xf numFmtId="170" fontId="66" fillId="4" borderId="27" xfId="14" applyNumberFormat="1" applyFont="1" applyFill="1" applyBorder="1" applyAlignment="1">
      <alignment vertical="center"/>
    </xf>
    <xf numFmtId="0" fontId="63" fillId="4" borderId="29" xfId="14" applyFont="1" applyFill="1" applyBorder="1" applyAlignment="1">
      <alignment vertical="center"/>
    </xf>
    <xf numFmtId="0" fontId="4" fillId="4" borderId="29" xfId="9" applyFill="1" applyBorder="1" applyAlignment="1">
      <alignment horizontal="right" vertical="center"/>
    </xf>
    <xf numFmtId="170" fontId="63" fillId="4" borderId="28" xfId="14" applyNumberFormat="1" applyFont="1" applyFill="1" applyBorder="1" applyAlignment="1">
      <alignment horizontal="right" vertical="center"/>
    </xf>
    <xf numFmtId="2" fontId="63" fillId="4" borderId="23" xfId="14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68" fontId="20" fillId="0" borderId="47" xfId="1" applyNumberFormat="1" applyFont="1" applyFill="1" applyBorder="1" applyAlignment="1">
      <alignment vertical="center"/>
    </xf>
    <xf numFmtId="167" fontId="20" fillId="0" borderId="67" xfId="1" applyNumberFormat="1" applyFont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39" fontId="28" fillId="0" borderId="2" xfId="1" applyNumberFormat="1" applyFont="1" applyBorder="1" applyAlignment="1">
      <alignment vertical="center"/>
    </xf>
    <xf numFmtId="39" fontId="28" fillId="0" borderId="57" xfId="1" applyNumberFormat="1" applyFont="1" applyBorder="1" applyAlignment="1">
      <alignment vertical="center"/>
    </xf>
    <xf numFmtId="168" fontId="20" fillId="0" borderId="22" xfId="1" applyNumberFormat="1" applyFont="1" applyFill="1" applyBorder="1" applyAlignment="1">
      <alignment vertical="center"/>
    </xf>
    <xf numFmtId="0" fontId="56" fillId="0" borderId="122" xfId="9" applyFont="1" applyFill="1" applyBorder="1" applyAlignment="1">
      <alignment horizontal="center" vertical="center"/>
    </xf>
    <xf numFmtId="165" fontId="20" fillId="0" borderId="56" xfId="1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48" fillId="0" borderId="10" xfId="0" applyFont="1" applyBorder="1"/>
    <xf numFmtId="0" fontId="48" fillId="0" borderId="10" xfId="0" applyFont="1" applyBorder="1" applyAlignment="1">
      <alignment horizontal="center"/>
    </xf>
    <xf numFmtId="178" fontId="48" fillId="0" borderId="10" xfId="0" applyNumberFormat="1" applyFont="1" applyBorder="1"/>
    <xf numFmtId="165" fontId="48" fillId="0" borderId="10" xfId="1" applyFont="1" applyBorder="1"/>
    <xf numFmtId="0" fontId="48" fillId="0" borderId="49" xfId="0" applyFont="1" applyBorder="1"/>
    <xf numFmtId="0" fontId="48" fillId="0" borderId="49" xfId="0" applyFont="1" applyBorder="1" applyAlignment="1">
      <alignment horizontal="center"/>
    </xf>
    <xf numFmtId="178" fontId="48" fillId="0" borderId="49" xfId="0" applyNumberFormat="1" applyFont="1" applyBorder="1"/>
    <xf numFmtId="165" fontId="48" fillId="0" borderId="49" xfId="1" applyFont="1" applyBorder="1"/>
    <xf numFmtId="0" fontId="48" fillId="0" borderId="25" xfId="0" applyFont="1" applyBorder="1"/>
    <xf numFmtId="0" fontId="48" fillId="0" borderId="25" xfId="0" applyFont="1" applyBorder="1" applyAlignment="1">
      <alignment horizontal="center"/>
    </xf>
    <xf numFmtId="178" fontId="48" fillId="0" borderId="25" xfId="0" applyNumberFormat="1" applyFont="1" applyBorder="1"/>
    <xf numFmtId="165" fontId="48" fillId="0" borderId="25" xfId="1" applyFont="1" applyBorder="1"/>
    <xf numFmtId="0" fontId="20" fillId="0" borderId="22" xfId="0" applyFont="1" applyBorder="1" applyAlignment="1">
      <alignment horizontal="center" vertical="center"/>
    </xf>
    <xf numFmtId="39" fontId="20" fillId="0" borderId="33" xfId="1" applyNumberFormat="1" applyFont="1" applyBorder="1" applyAlignment="1">
      <alignment vertical="center"/>
    </xf>
    <xf numFmtId="165" fontId="20" fillId="0" borderId="27" xfId="1" applyFont="1" applyFill="1" applyBorder="1" applyAlignment="1">
      <alignment vertical="center"/>
    </xf>
    <xf numFmtId="165" fontId="20" fillId="0" borderId="28" xfId="1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170" fontId="63" fillId="4" borderId="32" xfId="14" applyNumberFormat="1" applyFont="1" applyFill="1" applyBorder="1" applyAlignment="1">
      <alignment horizontal="right" vertical="center"/>
    </xf>
    <xf numFmtId="0" fontId="63" fillId="4" borderId="28" xfId="14" applyFont="1" applyFill="1" applyBorder="1" applyAlignment="1">
      <alignment vertical="center"/>
    </xf>
    <xf numFmtId="2" fontId="63" fillId="4" borderId="27" xfId="14" applyNumberFormat="1" applyFont="1" applyFill="1" applyBorder="1" applyAlignment="1">
      <alignment horizontal="right" vertical="center"/>
    </xf>
    <xf numFmtId="0" fontId="63" fillId="4" borderId="29" xfId="14" applyFont="1" applyFill="1" applyBorder="1" applyAlignment="1">
      <alignment horizontal="center" vertical="center" wrapText="1"/>
    </xf>
    <xf numFmtId="0" fontId="63" fillId="4" borderId="27" xfId="14" applyFont="1" applyFill="1" applyBorder="1" applyAlignment="1">
      <alignment horizontal="left" vertical="center" wrapText="1"/>
    </xf>
    <xf numFmtId="0" fontId="63" fillId="4" borderId="28" xfId="14" applyFont="1" applyFill="1" applyBorder="1" applyAlignment="1">
      <alignment horizontal="left" vertical="center" wrapText="1"/>
    </xf>
    <xf numFmtId="0" fontId="63" fillId="4" borderId="29" xfId="14" applyFont="1" applyFill="1" applyBorder="1" applyAlignment="1">
      <alignment horizontal="left" vertical="center" wrapText="1"/>
    </xf>
    <xf numFmtId="165" fontId="20" fillId="0" borderId="28" xfId="1" applyFont="1" applyBorder="1" applyAlignment="1">
      <alignment horizontal="left" vertical="top" wrapText="1"/>
    </xf>
    <xf numFmtId="165" fontId="20" fillId="0" borderId="29" xfId="1" applyFont="1" applyBorder="1" applyAlignment="1">
      <alignment horizontal="left" vertical="top" wrapText="1"/>
    </xf>
    <xf numFmtId="165" fontId="20" fillId="0" borderId="27" xfId="1" applyFont="1" applyBorder="1" applyAlignment="1">
      <alignment horizontal="left" vertical="top"/>
    </xf>
    <xf numFmtId="0" fontId="4" fillId="4" borderId="28" xfId="9" applyFill="1" applyBorder="1" applyAlignment="1">
      <alignment horizontal="left" vertical="center"/>
    </xf>
    <xf numFmtId="0" fontId="63" fillId="4" borderId="28" xfId="14" applyFont="1" applyFill="1" applyBorder="1" applyAlignment="1">
      <alignment horizontal="center" vertical="center"/>
    </xf>
    <xf numFmtId="0" fontId="63" fillId="4" borderId="101" xfId="14" applyFont="1" applyFill="1" applyBorder="1" applyAlignment="1">
      <alignment horizontal="center" vertical="center"/>
    </xf>
    <xf numFmtId="0" fontId="63" fillId="4" borderId="24" xfId="14" applyFont="1" applyFill="1" applyBorder="1" applyAlignment="1">
      <alignment horizontal="left" vertical="center"/>
    </xf>
    <xf numFmtId="170" fontId="64" fillId="4" borderId="32" xfId="14" applyNumberFormat="1" applyFont="1" applyFill="1" applyBorder="1" applyAlignment="1">
      <alignment horizontal="center" vertical="center"/>
    </xf>
    <xf numFmtId="0" fontId="63" fillId="4" borderId="17" xfId="14" applyFont="1" applyFill="1" applyBorder="1" applyAlignment="1">
      <alignment vertical="center"/>
    </xf>
    <xf numFmtId="0" fontId="64" fillId="4" borderId="83" xfId="14" applyFont="1" applyFill="1" applyBorder="1" applyAlignment="1">
      <alignment horizontal="center" vertical="center"/>
    </xf>
    <xf numFmtId="166" fontId="64" fillId="4" borderId="42" xfId="14" applyNumberFormat="1" applyFont="1" applyFill="1" applyBorder="1" applyAlignment="1">
      <alignment vertical="center"/>
    </xf>
    <xf numFmtId="0" fontId="63" fillId="4" borderId="43" xfId="14" applyFont="1" applyFill="1" applyBorder="1" applyAlignment="1">
      <alignment vertical="center"/>
    </xf>
    <xf numFmtId="0" fontId="48" fillId="4" borderId="54" xfId="0" applyFont="1" applyFill="1" applyBorder="1" applyAlignment="1">
      <alignment horizontal="center"/>
    </xf>
    <xf numFmtId="0" fontId="48" fillId="4" borderId="41" xfId="0" applyFont="1" applyFill="1" applyBorder="1" applyAlignment="1">
      <alignment horizontal="center"/>
    </xf>
    <xf numFmtId="0" fontId="107" fillId="0" borderId="25" xfId="0" applyFont="1" applyBorder="1" applyAlignment="1">
      <alignment horizontal="center" vertical="top"/>
    </xf>
    <xf numFmtId="0" fontId="107" fillId="0" borderId="96" xfId="0" applyFont="1" applyBorder="1" applyAlignment="1">
      <alignment horizontal="center" vertical="top"/>
    </xf>
    <xf numFmtId="165" fontId="0" fillId="0" borderId="0" xfId="1" applyFont="1"/>
    <xf numFmtId="166" fontId="0" fillId="0" borderId="0" xfId="0" applyNumberFormat="1"/>
    <xf numFmtId="0" fontId="63" fillId="4" borderId="27" xfId="14" applyFont="1" applyFill="1" applyBorder="1" applyAlignment="1">
      <alignment vertical="center"/>
    </xf>
    <xf numFmtId="0" fontId="63" fillId="4" borderId="31" xfId="14" applyFont="1" applyFill="1" applyBorder="1" applyAlignment="1">
      <alignment vertical="center"/>
    </xf>
    <xf numFmtId="0" fontId="63" fillId="4" borderId="32" xfId="14" applyFont="1" applyFill="1" applyBorder="1" applyAlignment="1">
      <alignment vertical="center"/>
    </xf>
    <xf numFmtId="0" fontId="63" fillId="4" borderId="41" xfId="14" applyFont="1" applyFill="1" applyBorder="1" applyAlignment="1">
      <alignment horizontal="left" vertical="center"/>
    </xf>
    <xf numFmtId="0" fontId="20" fillId="0" borderId="96" xfId="0" applyFont="1" applyFill="1" applyBorder="1" applyAlignment="1">
      <alignment horizontal="center" vertical="center"/>
    </xf>
    <xf numFmtId="0" fontId="48" fillId="4" borderId="64" xfId="0" applyFont="1" applyFill="1" applyBorder="1" applyAlignment="1"/>
    <xf numFmtId="0" fontId="48" fillId="4" borderId="49" xfId="0" applyFont="1" applyFill="1" applyBorder="1" applyAlignment="1"/>
    <xf numFmtId="165" fontId="48" fillId="4" borderId="34" xfId="1" applyFont="1" applyFill="1" applyBorder="1" applyAlignment="1">
      <alignment horizontal="right" vertical="center"/>
    </xf>
    <xf numFmtId="167" fontId="48" fillId="4" borderId="101" xfId="1" applyNumberFormat="1" applyFont="1" applyFill="1" applyBorder="1" applyAlignment="1">
      <alignment horizontal="right" vertical="center"/>
    </xf>
    <xf numFmtId="3" fontId="48" fillId="4" borderId="101" xfId="0" applyNumberFormat="1" applyFont="1" applyFill="1" applyBorder="1" applyAlignment="1">
      <alignment horizontal="right" vertical="center"/>
    </xf>
    <xf numFmtId="165" fontId="20" fillId="0" borderId="42" xfId="1" applyFont="1" applyBorder="1" applyAlignment="1">
      <alignment horizontal="left" vertical="top" wrapText="1"/>
    </xf>
    <xf numFmtId="0" fontId="63" fillId="4" borderId="27" xfId="14" applyFont="1" applyFill="1" applyBorder="1" applyAlignment="1">
      <alignment horizontal="left" vertical="center"/>
    </xf>
    <xf numFmtId="0" fontId="63" fillId="4" borderId="28" xfId="14" applyFont="1" applyFill="1" applyBorder="1" applyAlignment="1">
      <alignment horizontal="left" vertical="center"/>
    </xf>
    <xf numFmtId="165" fontId="20" fillId="0" borderId="28" xfId="1" applyFont="1" applyBorder="1" applyAlignment="1">
      <alignment vertical="center"/>
    </xf>
    <xf numFmtId="168" fontId="20" fillId="0" borderId="28" xfId="1" applyNumberFormat="1" applyFont="1" applyFill="1" applyBorder="1" applyAlignment="1">
      <alignment vertical="center"/>
    </xf>
    <xf numFmtId="167" fontId="20" fillId="0" borderId="29" xfId="1" applyNumberFormat="1" applyFont="1" applyBorder="1" applyAlignment="1">
      <alignment vertical="center"/>
    </xf>
    <xf numFmtId="0" fontId="48" fillId="4" borderId="3" xfId="0" applyFont="1" applyFill="1" applyBorder="1"/>
    <xf numFmtId="0" fontId="48" fillId="4" borderId="3" xfId="0" applyFont="1" applyFill="1" applyBorder="1" applyAlignment="1">
      <alignment horizontal="center"/>
    </xf>
    <xf numFmtId="178" fontId="48" fillId="4" borderId="3" xfId="0" applyNumberFormat="1" applyFont="1" applyFill="1" applyBorder="1"/>
    <xf numFmtId="165" fontId="48" fillId="4" borderId="3" xfId="1" applyFont="1" applyFill="1" applyBorder="1"/>
    <xf numFmtId="165" fontId="47" fillId="4" borderId="3" xfId="1" applyFont="1" applyFill="1" applyBorder="1"/>
    <xf numFmtId="0" fontId="85" fillId="0" borderId="49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/>
    </xf>
    <xf numFmtId="0" fontId="48" fillId="0" borderId="23" xfId="0" applyFont="1" applyBorder="1"/>
    <xf numFmtId="0" fontId="48" fillId="0" borderId="42" xfId="0" applyFont="1" applyBorder="1"/>
    <xf numFmtId="0" fontId="48" fillId="0" borderId="47" xfId="0" applyFont="1" applyBorder="1"/>
    <xf numFmtId="0" fontId="85" fillId="0" borderId="49" xfId="0" applyFont="1" applyBorder="1" applyAlignment="1">
      <alignment horizontal="center" vertical="top" wrapText="1"/>
    </xf>
    <xf numFmtId="0" fontId="86" fillId="0" borderId="64" xfId="0" applyFont="1" applyBorder="1" applyAlignment="1">
      <alignment horizontal="center" vertical="top" wrapText="1"/>
    </xf>
    <xf numFmtId="0" fontId="86" fillId="0" borderId="64" xfId="0" applyFont="1" applyBorder="1" applyAlignment="1">
      <alignment horizontal="left" vertical="top"/>
    </xf>
    <xf numFmtId="0" fontId="48" fillId="0" borderId="64" xfId="0" applyFont="1" applyBorder="1" applyAlignment="1">
      <alignment horizontal="left" vertical="top"/>
    </xf>
    <xf numFmtId="0" fontId="48" fillId="0" borderId="64" xfId="0" applyFont="1" applyBorder="1" applyAlignment="1">
      <alignment vertical="top"/>
    </xf>
    <xf numFmtId="0" fontId="48" fillId="0" borderId="64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86" fillId="0" borderId="25" xfId="0" applyFont="1" applyBorder="1" applyAlignment="1">
      <alignment horizontal="left" vertical="top"/>
    </xf>
    <xf numFmtId="0" fontId="86" fillId="0" borderId="25" xfId="0" applyFont="1" applyBorder="1" applyAlignment="1">
      <alignment horizontal="center" vertical="top"/>
    </xf>
    <xf numFmtId="165" fontId="48" fillId="0" borderId="25" xfId="1" applyFont="1" applyBorder="1" applyAlignment="1">
      <alignment vertical="top"/>
    </xf>
    <xf numFmtId="165" fontId="48" fillId="0" borderId="25" xfId="1" applyFont="1" applyBorder="1" applyAlignment="1">
      <alignment horizontal="left" vertical="top" wrapText="1"/>
    </xf>
    <xf numFmtId="0" fontId="48" fillId="0" borderId="96" xfId="0" applyFont="1" applyBorder="1" applyAlignment="1">
      <alignment horizontal="left" vertical="top" wrapText="1"/>
    </xf>
    <xf numFmtId="0" fontId="86" fillId="0" borderId="96" xfId="0" applyFont="1" applyBorder="1" applyAlignment="1">
      <alignment horizontal="left" vertical="top"/>
    </xf>
    <xf numFmtId="0" fontId="86" fillId="0" borderId="96" xfId="0" applyFont="1" applyBorder="1" applyAlignment="1">
      <alignment horizontal="center" vertical="top"/>
    </xf>
    <xf numFmtId="0" fontId="48" fillId="0" borderId="49" xfId="0" applyFont="1" applyBorder="1" applyAlignment="1">
      <alignment horizontal="left" vertical="top" wrapText="1"/>
    </xf>
    <xf numFmtId="0" fontId="48" fillId="0" borderId="49" xfId="0" applyFont="1" applyBorder="1" applyAlignment="1">
      <alignment horizontal="left" vertical="top"/>
    </xf>
    <xf numFmtId="0" fontId="86" fillId="0" borderId="49" xfId="0" applyFont="1" applyBorder="1" applyAlignment="1">
      <alignment vertical="top"/>
    </xf>
    <xf numFmtId="165" fontId="48" fillId="0" borderId="49" xfId="1" applyFont="1" applyBorder="1" applyAlignment="1">
      <alignment horizontal="left" vertical="top"/>
    </xf>
    <xf numFmtId="0" fontId="93" fillId="0" borderId="25" xfId="0" applyFont="1" applyBorder="1" applyAlignment="1">
      <alignment horizontal="left" vertical="top"/>
    </xf>
    <xf numFmtId="0" fontId="48" fillId="0" borderId="25" xfId="0" applyFont="1" applyBorder="1" applyAlignment="1">
      <alignment horizontal="left" vertical="top"/>
    </xf>
    <xf numFmtId="0" fontId="86" fillId="0" borderId="25" xfId="0" applyFont="1" applyBorder="1" applyAlignment="1">
      <alignment horizontal="center" vertical="center"/>
    </xf>
    <xf numFmtId="0" fontId="48" fillId="0" borderId="96" xfId="0" applyFont="1" applyBorder="1" applyAlignment="1">
      <alignment horizontal="left" vertical="top"/>
    </xf>
    <xf numFmtId="165" fontId="48" fillId="0" borderId="96" xfId="1" applyFont="1" applyBorder="1" applyAlignment="1">
      <alignment vertical="top"/>
    </xf>
    <xf numFmtId="165" fontId="86" fillId="0" borderId="49" xfId="1" applyFont="1" applyBorder="1" applyAlignment="1">
      <alignment vertical="top"/>
    </xf>
    <xf numFmtId="165" fontId="48" fillId="0" borderId="49" xfId="1" applyFont="1" applyBorder="1" applyAlignment="1">
      <alignment horizontal="left" vertical="top" wrapText="1"/>
    </xf>
    <xf numFmtId="0" fontId="48" fillId="0" borderId="96" xfId="0" applyFont="1" applyBorder="1" applyAlignment="1">
      <alignment vertical="top"/>
    </xf>
    <xf numFmtId="0" fontId="48" fillId="0" borderId="49" xfId="0" applyFont="1" applyBorder="1" applyAlignment="1">
      <alignment vertical="top"/>
    </xf>
    <xf numFmtId="0" fontId="86" fillId="0" borderId="49" xfId="0" applyFont="1" applyBorder="1" applyAlignment="1">
      <alignment horizontal="center" vertical="top" wrapText="1"/>
    </xf>
    <xf numFmtId="178" fontId="48" fillId="4" borderId="25" xfId="0" applyNumberFormat="1" applyFont="1" applyFill="1" applyBorder="1" applyAlignment="1">
      <alignment horizontal="right"/>
    </xf>
    <xf numFmtId="178" fontId="48" fillId="4" borderId="101" xfId="0" applyNumberFormat="1" applyFont="1" applyFill="1" applyBorder="1" applyAlignment="1">
      <alignment horizontal="right"/>
    </xf>
    <xf numFmtId="0" fontId="48" fillId="0" borderId="64" xfId="0" applyFont="1" applyBorder="1" applyAlignment="1">
      <alignment horizontal="center" vertical="center"/>
    </xf>
    <xf numFmtId="167" fontId="48" fillId="0" borderId="64" xfId="1" applyNumberFormat="1" applyFont="1" applyBorder="1" applyAlignment="1">
      <alignment horizontal="left" vertical="top"/>
    </xf>
    <xf numFmtId="167" fontId="86" fillId="0" borderId="25" xfId="1" applyNumberFormat="1" applyFont="1" applyBorder="1" applyAlignment="1">
      <alignment horizontal="center" vertical="top"/>
    </xf>
    <xf numFmtId="165" fontId="48" fillId="0" borderId="64" xfId="0" applyNumberFormat="1" applyFont="1" applyBorder="1" applyAlignment="1">
      <alignment vertical="top"/>
    </xf>
    <xf numFmtId="165" fontId="48" fillId="0" borderId="64" xfId="1" applyFont="1" applyBorder="1" applyAlignment="1">
      <alignment horizontal="left" vertical="top" wrapText="1"/>
    </xf>
    <xf numFmtId="0" fontId="93" fillId="0" borderId="25" xfId="0" applyFont="1" applyBorder="1" applyAlignment="1">
      <alignment horizontal="center" vertical="center"/>
    </xf>
    <xf numFmtId="0" fontId="93" fillId="0" borderId="96" xfId="0" applyFont="1" applyBorder="1" applyAlignment="1">
      <alignment horizontal="center" vertical="center"/>
    </xf>
    <xf numFmtId="170" fontId="86" fillId="0" borderId="25" xfId="0" applyNumberFormat="1" applyFont="1" applyBorder="1" applyAlignment="1">
      <alignment horizontal="right" vertical="center"/>
    </xf>
    <xf numFmtId="170" fontId="86" fillId="0" borderId="96" xfId="0" applyNumberFormat="1" applyFont="1" applyBorder="1" applyAlignment="1">
      <alignment horizontal="right" vertical="center"/>
    </xf>
    <xf numFmtId="0" fontId="86" fillId="0" borderId="47" xfId="0" applyFont="1" applyBorder="1" applyAlignment="1">
      <alignment vertical="top"/>
    </xf>
    <xf numFmtId="168" fontId="46" fillId="0" borderId="96" xfId="1" applyNumberFormat="1" applyFont="1" applyFill="1" applyBorder="1" applyAlignment="1">
      <alignment vertical="center"/>
    </xf>
    <xf numFmtId="168" fontId="46" fillId="0" borderId="101" xfId="1" applyNumberFormat="1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167" fontId="46" fillId="0" borderId="29" xfId="1" applyNumberFormat="1" applyFont="1" applyBorder="1" applyAlignment="1">
      <alignment vertical="center"/>
    </xf>
    <xf numFmtId="39" fontId="20" fillId="0" borderId="156" xfId="1" applyNumberFormat="1" applyFont="1" applyFill="1" applyBorder="1" applyAlignment="1">
      <alignment vertical="center"/>
    </xf>
    <xf numFmtId="167" fontId="46" fillId="0" borderId="43" xfId="1" applyNumberFormat="1" applyFont="1" applyBorder="1" applyAlignment="1">
      <alignment vertical="center"/>
    </xf>
    <xf numFmtId="165" fontId="20" fillId="0" borderId="41" xfId="1" applyFont="1" applyBorder="1" applyAlignment="1">
      <alignment horizontal="left" vertical="top"/>
    </xf>
    <xf numFmtId="0" fontId="0" fillId="0" borderId="34" xfId="0" applyFill="1" applyBorder="1"/>
    <xf numFmtId="0" fontId="0" fillId="0" borderId="25" xfId="0" applyFill="1" applyBorder="1"/>
    <xf numFmtId="0" fontId="0" fillId="0" borderId="96" xfId="0" applyFill="1" applyBorder="1"/>
    <xf numFmtId="0" fontId="48" fillId="0" borderId="49" xfId="0" applyFont="1" applyFill="1" applyBorder="1"/>
    <xf numFmtId="0" fontId="39" fillId="0" borderId="98" xfId="0" applyFont="1" applyBorder="1" applyAlignment="1">
      <alignment horizontal="center"/>
    </xf>
    <xf numFmtId="168" fontId="20" fillId="0" borderId="101" xfId="1" applyNumberFormat="1" applyFont="1" applyFill="1" applyBorder="1" applyAlignment="1">
      <alignment horizontal="center" vertical="center"/>
    </xf>
    <xf numFmtId="168" fontId="20" fillId="0" borderId="29" xfId="1" applyNumberFormat="1" applyFont="1" applyFill="1" applyBorder="1" applyAlignment="1">
      <alignment horizontal="center" vertical="center"/>
    </xf>
    <xf numFmtId="165" fontId="109" fillId="0" borderId="22" xfId="1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167" fontId="20" fillId="0" borderId="25" xfId="1" applyNumberFormat="1" applyFont="1" applyFill="1" applyBorder="1" applyAlignment="1">
      <alignment vertical="center"/>
    </xf>
    <xf numFmtId="167" fontId="20" fillId="0" borderId="34" xfId="1" applyNumberFormat="1" applyFont="1" applyFill="1" applyBorder="1" applyAlignment="1">
      <alignment vertical="center"/>
    </xf>
    <xf numFmtId="167" fontId="20" fillId="0" borderId="101" xfId="1" applyNumberFormat="1" applyFont="1" applyFill="1" applyBorder="1" applyAlignment="1">
      <alignment vertical="center"/>
    </xf>
    <xf numFmtId="167" fontId="20" fillId="0" borderId="22" xfId="1" applyNumberFormat="1" applyFont="1" applyFill="1" applyBorder="1" applyAlignment="1">
      <alignment vertical="center"/>
    </xf>
    <xf numFmtId="0" fontId="90" fillId="4" borderId="0" xfId="8" applyFont="1" applyFill="1" applyBorder="1" applyAlignment="1">
      <alignment horizontal="left"/>
    </xf>
    <xf numFmtId="0" fontId="63" fillId="4" borderId="27" xfId="14" applyFont="1" applyFill="1" applyBorder="1" applyAlignment="1">
      <alignment horizontal="left" vertical="center"/>
    </xf>
    <xf numFmtId="0" fontId="63" fillId="4" borderId="28" xfId="14" applyFont="1" applyFill="1" applyBorder="1" applyAlignment="1">
      <alignment horizontal="left" vertical="center"/>
    </xf>
    <xf numFmtId="0" fontId="63" fillId="4" borderId="24" xfId="14" applyFont="1" applyFill="1" applyBorder="1" applyAlignment="1">
      <alignment horizontal="left" vertical="center"/>
    </xf>
    <xf numFmtId="0" fontId="62" fillId="4" borderId="101" xfId="0" applyFont="1" applyFill="1" applyBorder="1" applyAlignment="1">
      <alignment vertical="center"/>
    </xf>
    <xf numFmtId="179" fontId="62" fillId="4" borderId="101" xfId="68" applyNumberFormat="1" applyFont="1" applyFill="1" applyBorder="1" applyAlignment="1">
      <alignment vertical="center"/>
    </xf>
    <xf numFmtId="0" fontId="48" fillId="0" borderId="22" xfId="0" applyFont="1" applyBorder="1"/>
    <xf numFmtId="0" fontId="28" fillId="0" borderId="66" xfId="0" applyFont="1" applyBorder="1" applyAlignment="1">
      <alignment vertical="center"/>
    </xf>
    <xf numFmtId="0" fontId="48" fillId="4" borderId="25" xfId="0" applyFont="1" applyFill="1" applyBorder="1" applyAlignment="1">
      <alignment horizontal="left" wrapText="1"/>
    </xf>
    <xf numFmtId="0" fontId="96" fillId="4" borderId="0" xfId="0" applyFont="1" applyFill="1"/>
    <xf numFmtId="0" fontId="110" fillId="4" borderId="5" xfId="0" applyFont="1" applyFill="1" applyBorder="1" applyAlignment="1">
      <alignment horizontal="center" vertical="center"/>
    </xf>
    <xf numFmtId="0" fontId="110" fillId="4" borderId="5" xfId="0" applyFont="1" applyFill="1" applyBorder="1" applyAlignment="1">
      <alignment horizontal="left" vertical="center"/>
    </xf>
    <xf numFmtId="0" fontId="62" fillId="4" borderId="23" xfId="0" applyFont="1" applyFill="1" applyBorder="1" applyAlignment="1" applyProtection="1">
      <alignment horizontal="left" vertical="center"/>
    </xf>
    <xf numFmtId="164" fontId="4" fillId="0" borderId="28" xfId="3" applyNumberFormat="1" applyFont="1" applyFill="1" applyBorder="1" applyAlignment="1">
      <alignment vertical="center"/>
    </xf>
    <xf numFmtId="0" fontId="62" fillId="0" borderId="23" xfId="0" applyFont="1" applyFill="1" applyBorder="1" applyAlignment="1" applyProtection="1">
      <alignment horizontal="left" vertical="center"/>
    </xf>
    <xf numFmtId="0" fontId="86" fillId="0" borderId="25" xfId="0" applyFont="1" applyBorder="1" applyAlignment="1">
      <alignment vertical="top"/>
    </xf>
    <xf numFmtId="165" fontId="48" fillId="0" borderId="96" xfId="1" applyFont="1" applyBorder="1" applyAlignment="1">
      <alignment horizontal="left" vertical="top" wrapText="1"/>
    </xf>
    <xf numFmtId="167" fontId="20" fillId="0" borderId="27" xfId="1" applyNumberFormat="1" applyFont="1" applyFill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2" fontId="63" fillId="4" borderId="5" xfId="14" applyNumberFormat="1" applyFont="1" applyFill="1" applyBorder="1" applyAlignment="1">
      <alignment horizontal="right" vertical="center"/>
    </xf>
    <xf numFmtId="0" fontId="20" fillId="0" borderId="168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167" fontId="28" fillId="0" borderId="157" xfId="1" applyNumberFormat="1" applyFont="1" applyBorder="1" applyAlignment="1">
      <alignment vertical="center"/>
    </xf>
    <xf numFmtId="166" fontId="57" fillId="0" borderId="146" xfId="10" applyFont="1" applyFill="1" applyBorder="1" applyAlignment="1">
      <alignment horizontal="center" vertical="center" wrapText="1"/>
    </xf>
    <xf numFmtId="0" fontId="4" fillId="0" borderId="147" xfId="9" applyBorder="1" applyAlignment="1">
      <alignment horizontal="center" vertical="center" wrapText="1"/>
    </xf>
    <xf numFmtId="0" fontId="4" fillId="0" borderId="148" xfId="9" applyBorder="1" applyAlignment="1">
      <alignment horizontal="center" vertical="center" wrapText="1"/>
    </xf>
    <xf numFmtId="166" fontId="57" fillId="0" borderId="147" xfId="10" applyFont="1" applyFill="1" applyBorder="1" applyAlignment="1">
      <alignment horizontal="center" vertical="center" wrapText="1"/>
    </xf>
    <xf numFmtId="166" fontId="57" fillId="0" borderId="148" xfId="10" applyFont="1" applyFill="1" applyBorder="1" applyAlignment="1">
      <alignment horizontal="center" vertical="center" wrapText="1"/>
    </xf>
    <xf numFmtId="0" fontId="56" fillId="0" borderId="126" xfId="9" applyFont="1" applyFill="1" applyBorder="1" applyAlignment="1">
      <alignment horizontal="center" vertical="center" wrapText="1"/>
    </xf>
    <xf numFmtId="0" fontId="4" fillId="0" borderId="121" xfId="9" applyBorder="1" applyAlignment="1">
      <alignment horizontal="center" vertical="center" wrapText="1"/>
    </xf>
    <xf numFmtId="0" fontId="53" fillId="0" borderId="50" xfId="9" applyFont="1" applyFill="1" applyBorder="1" applyAlignment="1">
      <alignment horizontal="center"/>
    </xf>
    <xf numFmtId="0" fontId="53" fillId="0" borderId="38" xfId="9" applyFont="1" applyFill="1" applyBorder="1" applyAlignment="1">
      <alignment horizontal="center"/>
    </xf>
    <xf numFmtId="0" fontId="53" fillId="0" borderId="51" xfId="9" applyFont="1" applyFill="1" applyBorder="1" applyAlignment="1">
      <alignment horizontal="center"/>
    </xf>
    <xf numFmtId="0" fontId="57" fillId="0" borderId="104" xfId="9" applyFont="1" applyFill="1" applyBorder="1" applyAlignment="1">
      <alignment horizontal="center" vertical="center"/>
    </xf>
    <xf numFmtId="0" fontId="57" fillId="0" borderId="105" xfId="9" applyFont="1" applyFill="1" applyBorder="1" applyAlignment="1">
      <alignment horizontal="center" vertical="center"/>
    </xf>
    <xf numFmtId="0" fontId="57" fillId="0" borderId="106" xfId="9" applyFont="1" applyFill="1" applyBorder="1" applyAlignment="1">
      <alignment horizontal="center" vertical="center"/>
    </xf>
    <xf numFmtId="0" fontId="57" fillId="0" borderId="141" xfId="9" applyFont="1" applyFill="1" applyBorder="1" applyAlignment="1">
      <alignment horizontal="center" vertical="center"/>
    </xf>
    <xf numFmtId="0" fontId="57" fillId="0" borderId="142" xfId="9" applyFont="1" applyFill="1" applyBorder="1" applyAlignment="1">
      <alignment horizontal="center" vertical="center"/>
    </xf>
    <xf numFmtId="0" fontId="57" fillId="0" borderId="144" xfId="9" applyFont="1" applyFill="1" applyBorder="1" applyAlignment="1">
      <alignment horizontal="center" vertical="center"/>
    </xf>
    <xf numFmtId="0" fontId="57" fillId="0" borderId="49" xfId="9" applyFont="1" applyFill="1" applyBorder="1" applyAlignment="1">
      <alignment horizontal="center" vertical="center"/>
    </xf>
    <xf numFmtId="0" fontId="57" fillId="0" borderId="142" xfId="10" applyNumberFormat="1" applyFont="1" applyFill="1" applyBorder="1" applyAlignment="1">
      <alignment horizontal="center" vertical="center" wrapText="1"/>
    </xf>
    <xf numFmtId="0" fontId="57" fillId="0" borderId="49" xfId="10" applyNumberFormat="1" applyFont="1" applyFill="1" applyBorder="1" applyAlignment="1">
      <alignment horizontal="center" vertical="center" wrapText="1"/>
    </xf>
    <xf numFmtId="0" fontId="57" fillId="0" borderId="64" xfId="10" applyNumberFormat="1" applyFont="1" applyFill="1" applyBorder="1" applyAlignment="1">
      <alignment horizontal="center" vertical="center" wrapText="1"/>
    </xf>
    <xf numFmtId="179" fontId="57" fillId="0" borderId="132" xfId="10" applyNumberFormat="1" applyFont="1" applyFill="1" applyBorder="1" applyAlignment="1">
      <alignment horizontal="center" vertical="center" wrapText="1"/>
    </xf>
    <xf numFmtId="179" fontId="57" fillId="0" borderId="143" xfId="10" applyNumberFormat="1" applyFont="1" applyFill="1" applyBorder="1" applyAlignment="1">
      <alignment horizontal="center" vertical="center" wrapText="1"/>
    </xf>
    <xf numFmtId="179" fontId="57" fillId="0" borderId="145" xfId="10" applyNumberFormat="1" applyFont="1" applyFill="1" applyBorder="1" applyAlignment="1">
      <alignment horizontal="center" vertical="center" wrapText="1"/>
    </xf>
    <xf numFmtId="0" fontId="57" fillId="0" borderId="50" xfId="9" applyFont="1" applyFill="1" applyBorder="1" applyAlignment="1">
      <alignment horizontal="center" vertical="center"/>
    </xf>
    <xf numFmtId="0" fontId="57" fillId="0" borderId="38" xfId="9" applyFont="1" applyFill="1" applyBorder="1" applyAlignment="1">
      <alignment horizontal="center" vertical="center"/>
    </xf>
    <xf numFmtId="0" fontId="57" fillId="0" borderId="51" xfId="9" applyFont="1" applyFill="1" applyBorder="1" applyAlignment="1">
      <alignment horizontal="center" vertical="center"/>
    </xf>
    <xf numFmtId="0" fontId="57" fillId="0" borderId="52" xfId="9" applyFont="1" applyFill="1" applyBorder="1" applyAlignment="1">
      <alignment horizontal="center" vertical="center"/>
    </xf>
    <xf numFmtId="0" fontId="57" fillId="0" borderId="0" xfId="9" applyFont="1" applyFill="1" applyBorder="1" applyAlignment="1">
      <alignment horizontal="center" vertical="center"/>
    </xf>
    <xf numFmtId="0" fontId="57" fillId="0" borderId="53" xfId="9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166" fontId="28" fillId="0" borderId="81" xfId="2" applyFont="1" applyBorder="1" applyAlignment="1">
      <alignment horizontal="right" vertical="center"/>
    </xf>
    <xf numFmtId="166" fontId="28" fillId="0" borderId="90" xfId="2" applyFont="1" applyBorder="1" applyAlignment="1">
      <alignment horizontal="right" vertical="center"/>
    </xf>
    <xf numFmtId="166" fontId="20" fillId="0" borderId="93" xfId="2" applyFont="1" applyBorder="1" applyAlignment="1">
      <alignment horizontal="right" vertical="center"/>
    </xf>
    <xf numFmtId="166" fontId="20" fillId="0" borderId="91" xfId="2" applyFont="1" applyBorder="1" applyAlignment="1">
      <alignment horizontal="right" vertical="center"/>
    </xf>
    <xf numFmtId="0" fontId="22" fillId="17" borderId="64" xfId="0" applyFont="1" applyFill="1" applyBorder="1" applyAlignment="1">
      <alignment horizontal="center" vertical="center"/>
    </xf>
    <xf numFmtId="0" fontId="22" fillId="17" borderId="47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 wrapText="1"/>
    </xf>
    <xf numFmtId="0" fontId="22" fillId="17" borderId="55" xfId="0" applyFont="1" applyFill="1" applyBorder="1" applyAlignment="1">
      <alignment horizontal="center" vertical="center" wrapText="1"/>
    </xf>
    <xf numFmtId="0" fontId="22" fillId="17" borderId="66" xfId="0" applyFont="1" applyFill="1" applyBorder="1" applyAlignment="1">
      <alignment horizontal="center" vertical="center" wrapText="1"/>
    </xf>
    <xf numFmtId="0" fontId="22" fillId="17" borderId="67" xfId="0" applyFont="1" applyFill="1" applyBorder="1" applyAlignment="1">
      <alignment horizontal="center" vertical="center" wrapText="1"/>
    </xf>
    <xf numFmtId="166" fontId="20" fillId="0" borderId="22" xfId="2" applyFont="1" applyBorder="1" applyAlignment="1">
      <alignment horizontal="right" vertical="center"/>
    </xf>
    <xf numFmtId="166" fontId="20" fillId="0" borderId="24" xfId="2" applyFont="1" applyBorder="1" applyAlignment="1">
      <alignment horizontal="right" vertical="center"/>
    </xf>
    <xf numFmtId="166" fontId="20" fillId="0" borderId="54" xfId="2" applyFont="1" applyBorder="1" applyAlignment="1">
      <alignment horizontal="right" vertical="center"/>
    </xf>
    <xf numFmtId="166" fontId="20" fillId="0" borderId="55" xfId="2" applyFont="1" applyBorder="1" applyAlignment="1">
      <alignment horizontal="right" vertical="center"/>
    </xf>
    <xf numFmtId="0" fontId="28" fillId="0" borderId="82" xfId="0" applyFont="1" applyBorder="1" applyAlignment="1">
      <alignment horizontal="left" vertical="center"/>
    </xf>
    <xf numFmtId="0" fontId="28" fillId="0" borderId="91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28" fillId="0" borderId="90" xfId="0" applyFont="1" applyBorder="1" applyAlignment="1">
      <alignment horizontal="left" vertical="center"/>
    </xf>
    <xf numFmtId="166" fontId="20" fillId="0" borderId="27" xfId="2" applyFont="1" applyBorder="1" applyAlignment="1">
      <alignment horizontal="right" vertical="center"/>
    </xf>
    <xf numFmtId="166" fontId="20" fillId="0" borderId="29" xfId="2" applyFont="1" applyBorder="1" applyAlignment="1">
      <alignment horizontal="right" vertical="center"/>
    </xf>
    <xf numFmtId="166" fontId="28" fillId="0" borderId="82" xfId="2" applyFont="1" applyBorder="1" applyAlignment="1">
      <alignment horizontal="right" vertical="center"/>
    </xf>
    <xf numFmtId="166" fontId="28" fillId="0" borderId="91" xfId="2" applyFont="1" applyBorder="1" applyAlignment="1">
      <alignment horizontal="right" vertical="center"/>
    </xf>
    <xf numFmtId="166" fontId="28" fillId="0" borderId="23" xfId="2" applyFont="1" applyBorder="1" applyAlignment="1">
      <alignment horizontal="right" vertical="center"/>
    </xf>
    <xf numFmtId="166" fontId="28" fillId="0" borderId="24" xfId="2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20" fillId="0" borderId="27" xfId="1" applyFont="1" applyBorder="1" applyAlignment="1">
      <alignment horizontal="left" vertical="top" wrapText="1"/>
    </xf>
    <xf numFmtId="165" fontId="20" fillId="0" borderId="28" xfId="1" applyFont="1" applyBorder="1" applyAlignment="1">
      <alignment horizontal="left" vertical="top" wrapText="1"/>
    </xf>
    <xf numFmtId="165" fontId="20" fillId="0" borderId="29" xfId="1" applyFont="1" applyBorder="1" applyAlignment="1">
      <alignment horizontal="left" vertical="top" wrapText="1"/>
    </xf>
    <xf numFmtId="165" fontId="20" fillId="0" borderId="16" xfId="1" applyFont="1" applyBorder="1" applyAlignment="1">
      <alignment horizontal="left" vertical="center" wrapText="1"/>
    </xf>
    <xf numFmtId="165" fontId="20" fillId="0" borderId="17" xfId="1" applyFont="1" applyBorder="1" applyAlignment="1">
      <alignment horizontal="left" vertical="center" wrapText="1"/>
    </xf>
    <xf numFmtId="0" fontId="105" fillId="0" borderId="0" xfId="0" applyFont="1" applyAlignment="1">
      <alignment horizontal="center" vertical="center"/>
    </xf>
    <xf numFmtId="0" fontId="28" fillId="17" borderId="7" xfId="0" applyFon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17" borderId="8" xfId="0" applyFont="1" applyFill="1" applyBorder="1" applyAlignment="1">
      <alignment horizontal="center" vertical="center"/>
    </xf>
    <xf numFmtId="0" fontId="28" fillId="17" borderId="11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17" borderId="6" xfId="0" applyFont="1" applyFill="1" applyBorder="1" applyAlignment="1">
      <alignment horizontal="center" vertical="center"/>
    </xf>
    <xf numFmtId="0" fontId="28" fillId="17" borderId="9" xfId="0" applyFont="1" applyFill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8" fillId="17" borderId="87" xfId="0" applyFont="1" applyFill="1" applyBorder="1" applyAlignment="1">
      <alignment horizontal="center" vertical="center"/>
    </xf>
    <xf numFmtId="0" fontId="28" fillId="17" borderId="65" xfId="0" applyFont="1" applyFill="1" applyBorder="1" applyAlignment="1">
      <alignment horizontal="center" vertical="center"/>
    </xf>
    <xf numFmtId="0" fontId="28" fillId="17" borderId="85" xfId="0" applyFont="1" applyFill="1" applyBorder="1" applyAlignment="1">
      <alignment horizontal="center" vertical="center"/>
    </xf>
    <xf numFmtId="0" fontId="28" fillId="17" borderId="66" xfId="0" applyFont="1" applyFill="1" applyBorder="1" applyAlignment="1">
      <alignment horizontal="center" vertical="center"/>
    </xf>
    <xf numFmtId="0" fontId="28" fillId="17" borderId="5" xfId="0" applyFont="1" applyFill="1" applyBorder="1" applyAlignment="1">
      <alignment horizontal="center" vertical="center"/>
    </xf>
    <xf numFmtId="0" fontId="28" fillId="17" borderId="67" xfId="0" applyFont="1" applyFill="1" applyBorder="1" applyAlignment="1">
      <alignment horizontal="center" vertical="center"/>
    </xf>
    <xf numFmtId="0" fontId="90" fillId="4" borderId="0" xfId="8" applyFont="1" applyFill="1" applyBorder="1" applyAlignment="1">
      <alignment horizontal="left"/>
    </xf>
    <xf numFmtId="0" fontId="12" fillId="0" borderId="0" xfId="153" applyFont="1" applyFill="1" applyBorder="1" applyAlignment="1">
      <alignment horizontal="right"/>
    </xf>
    <xf numFmtId="0" fontId="87" fillId="0" borderId="0" xfId="8" applyFont="1" applyBorder="1" applyAlignment="1">
      <alignment horizontal="center" vertical="center"/>
    </xf>
    <xf numFmtId="0" fontId="90" fillId="0" borderId="0" xfId="8" applyFont="1" applyBorder="1" applyAlignment="1">
      <alignment horizontal="center"/>
    </xf>
    <xf numFmtId="0" fontId="90" fillId="0" borderId="0" xfId="8" applyFont="1" applyBorder="1" applyAlignment="1">
      <alignment horizontal="left"/>
    </xf>
    <xf numFmtId="9" fontId="90" fillId="0" borderId="0" xfId="8" applyNumberFormat="1" applyFont="1" applyBorder="1" applyAlignment="1">
      <alignment horizontal="left"/>
    </xf>
    <xf numFmtId="0" fontId="90" fillId="0" borderId="0" xfId="8" applyFont="1" applyFill="1" applyBorder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86" fillId="0" borderId="101" xfId="0" applyFont="1" applyBorder="1" applyAlignment="1">
      <alignment horizontal="center" vertical="top" wrapText="1"/>
    </xf>
    <xf numFmtId="0" fontId="86" fillId="0" borderId="47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1" fillId="0" borderId="0" xfId="3" applyFont="1" applyFill="1" applyAlignment="1">
      <alignment horizontal="center" vertical="center" wrapText="1"/>
    </xf>
    <xf numFmtId="0" fontId="37" fillId="0" borderId="77" xfId="3" applyFont="1" applyFill="1" applyBorder="1" applyAlignment="1">
      <alignment horizontal="center" vertical="center" wrapText="1"/>
    </xf>
    <xf numFmtId="0" fontId="37" fillId="0" borderId="74" xfId="3" applyFont="1" applyFill="1" applyBorder="1" applyAlignment="1">
      <alignment horizontal="center" vertical="center" wrapText="1"/>
    </xf>
    <xf numFmtId="164" fontId="3" fillId="0" borderId="80" xfId="3" applyNumberFormat="1" applyFont="1" applyFill="1" applyBorder="1" applyAlignment="1">
      <alignment horizontal="center" vertical="center"/>
    </xf>
    <xf numFmtId="164" fontId="3" fillId="0" borderId="75" xfId="3" applyNumberFormat="1" applyFont="1" applyFill="1" applyBorder="1" applyAlignment="1">
      <alignment horizontal="center" vertical="center"/>
    </xf>
    <xf numFmtId="0" fontId="37" fillId="0" borderId="63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63" fillId="4" borderId="22" xfId="14" applyFont="1" applyFill="1" applyBorder="1" applyAlignment="1">
      <alignment horizontal="left" vertical="center"/>
    </xf>
    <xf numFmtId="0" fontId="63" fillId="4" borderId="23" xfId="14" applyFont="1" applyFill="1" applyBorder="1" applyAlignment="1">
      <alignment horizontal="left" vertical="center"/>
    </xf>
    <xf numFmtId="0" fontId="4" fillId="4" borderId="24" xfId="9" applyFill="1" applyBorder="1" applyAlignment="1">
      <alignment horizontal="left" vertical="center"/>
    </xf>
    <xf numFmtId="0" fontId="63" fillId="4" borderId="27" xfId="14" applyFont="1" applyFill="1" applyBorder="1" applyAlignment="1">
      <alignment horizontal="left" vertical="center"/>
    </xf>
    <xf numFmtId="0" fontId="63" fillId="4" borderId="28" xfId="14" applyFont="1" applyFill="1" applyBorder="1" applyAlignment="1">
      <alignment horizontal="left" vertical="center"/>
    </xf>
    <xf numFmtId="0" fontId="4" fillId="4" borderId="29" xfId="9" applyFill="1" applyBorder="1" applyAlignment="1">
      <alignment horizontal="left" vertical="center"/>
    </xf>
    <xf numFmtId="0" fontId="63" fillId="4" borderId="24" xfId="14" applyFont="1" applyFill="1" applyBorder="1" applyAlignment="1">
      <alignment horizontal="left" vertical="center"/>
    </xf>
    <xf numFmtId="2" fontId="63" fillId="4" borderId="23" xfId="14" applyNumberFormat="1" applyFont="1" applyFill="1" applyBorder="1" applyAlignment="1">
      <alignment horizontal="left" vertical="center" wrapText="1"/>
    </xf>
    <xf numFmtId="0" fontId="63" fillId="4" borderId="22" xfId="14" applyFont="1" applyFill="1" applyBorder="1" applyAlignment="1">
      <alignment horizontal="left" vertical="center" wrapText="1"/>
    </xf>
    <xf numFmtId="0" fontId="63" fillId="4" borderId="23" xfId="14" applyFont="1" applyFill="1" applyBorder="1" applyAlignment="1">
      <alignment horizontal="left" vertical="center" wrapText="1"/>
    </xf>
    <xf numFmtId="0" fontId="4" fillId="4" borderId="24" xfId="9" applyFill="1" applyBorder="1" applyAlignment="1">
      <alignment horizontal="left" vertical="center" wrapText="1"/>
    </xf>
    <xf numFmtId="0" fontId="63" fillId="4" borderId="25" xfId="14" applyFont="1" applyFill="1" applyBorder="1" applyAlignment="1">
      <alignment horizontal="left" vertical="center"/>
    </xf>
    <xf numFmtId="0" fontId="63" fillId="4" borderId="24" xfId="14" applyFont="1" applyFill="1" applyBorder="1" applyAlignment="1">
      <alignment horizontal="left" vertical="center" wrapText="1"/>
    </xf>
    <xf numFmtId="0" fontId="63" fillId="4" borderId="31" xfId="14" applyFont="1" applyFill="1" applyBorder="1" applyAlignment="1">
      <alignment horizontal="left" vertical="center"/>
    </xf>
    <xf numFmtId="0" fontId="63" fillId="4" borderId="32" xfId="14" applyFont="1" applyFill="1" applyBorder="1" applyAlignment="1">
      <alignment horizontal="left" vertical="center"/>
    </xf>
    <xf numFmtId="0" fontId="4" fillId="4" borderId="33" xfId="9" applyFill="1" applyBorder="1" applyAlignment="1">
      <alignment horizontal="left" vertical="center"/>
    </xf>
    <xf numFmtId="165" fontId="63" fillId="4" borderId="22" xfId="14" applyNumberFormat="1" applyFont="1" applyFill="1" applyBorder="1" applyAlignment="1">
      <alignment horizontal="left" vertical="center"/>
    </xf>
    <xf numFmtId="165" fontId="63" fillId="4" borderId="23" xfId="14" applyNumberFormat="1" applyFont="1" applyFill="1" applyBorder="1" applyAlignment="1">
      <alignment horizontal="left" vertical="center"/>
    </xf>
    <xf numFmtId="0" fontId="63" fillId="4" borderId="41" xfId="14" applyFont="1" applyFill="1" applyBorder="1" applyAlignment="1">
      <alignment horizontal="center" vertical="center" wrapText="1"/>
    </xf>
    <xf numFmtId="0" fontId="63" fillId="4" borderId="42" xfId="14" applyFont="1" applyFill="1" applyBorder="1" applyAlignment="1">
      <alignment horizontal="center" vertical="center" wrapText="1"/>
    </xf>
    <xf numFmtId="0" fontId="63" fillId="4" borderId="43" xfId="14" applyFont="1" applyFill="1" applyBorder="1" applyAlignment="1">
      <alignment horizontal="center" vertical="center" wrapText="1"/>
    </xf>
    <xf numFmtId="0" fontId="62" fillId="4" borderId="22" xfId="9" applyFont="1" applyFill="1" applyBorder="1" applyAlignment="1">
      <alignment horizontal="left" vertical="center" wrapText="1"/>
    </xf>
    <xf numFmtId="0" fontId="62" fillId="4" borderId="23" xfId="9" applyFont="1" applyFill="1" applyBorder="1" applyAlignment="1">
      <alignment horizontal="left" vertical="center" wrapText="1"/>
    </xf>
    <xf numFmtId="0" fontId="62" fillId="4" borderId="24" xfId="9" applyFont="1" applyFill="1" applyBorder="1" applyAlignment="1">
      <alignment horizontal="left" vertical="center" wrapText="1"/>
    </xf>
    <xf numFmtId="0" fontId="61" fillId="0" borderId="0" xfId="13" applyFont="1" applyFill="1" applyAlignment="1">
      <alignment horizontal="center" vertical="center"/>
    </xf>
    <xf numFmtId="0" fontId="64" fillId="0" borderId="69" xfId="14" applyFont="1" applyFill="1" applyBorder="1" applyAlignment="1">
      <alignment horizontal="center" vertical="center"/>
    </xf>
    <xf numFmtId="0" fontId="64" fillId="0" borderId="153" xfId="14" applyFont="1" applyFill="1" applyBorder="1" applyAlignment="1">
      <alignment horizontal="center" vertical="center"/>
    </xf>
    <xf numFmtId="0" fontId="64" fillId="0" borderId="151" xfId="14" applyFont="1" applyFill="1" applyBorder="1" applyAlignment="1">
      <alignment horizontal="center" vertical="center"/>
    </xf>
    <xf numFmtId="0" fontId="64" fillId="0" borderId="138" xfId="14" applyFont="1" applyFill="1" applyBorder="1" applyAlignment="1">
      <alignment horizontal="center" vertical="center"/>
    </xf>
    <xf numFmtId="0" fontId="64" fillId="0" borderId="87" xfId="14" applyFont="1" applyFill="1" applyBorder="1" applyAlignment="1">
      <alignment horizontal="center" vertical="center"/>
    </xf>
    <xf numFmtId="0" fontId="64" fillId="0" borderId="85" xfId="14" applyFont="1" applyFill="1" applyBorder="1" applyAlignment="1">
      <alignment horizontal="center" vertical="center"/>
    </xf>
    <xf numFmtId="0" fontId="64" fillId="0" borderId="44" xfId="14" applyFont="1" applyFill="1" applyBorder="1" applyAlignment="1">
      <alignment horizontal="center" vertical="center"/>
    </xf>
    <xf numFmtId="0" fontId="64" fillId="0" borderId="45" xfId="14" applyFont="1" applyFill="1" applyBorder="1" applyAlignment="1">
      <alignment horizontal="center" vertical="center"/>
    </xf>
    <xf numFmtId="0" fontId="64" fillId="0" borderId="87" xfId="14" applyFont="1" applyFill="1" applyBorder="1" applyAlignment="1">
      <alignment horizontal="center" vertical="center" wrapText="1"/>
    </xf>
    <xf numFmtId="0" fontId="64" fillId="0" borderId="65" xfId="14" applyFont="1" applyFill="1" applyBorder="1" applyAlignment="1">
      <alignment horizontal="center" vertical="center" wrapText="1"/>
    </xf>
    <xf numFmtId="0" fontId="64" fillId="0" borderId="152" xfId="14" applyFont="1" applyFill="1" applyBorder="1" applyAlignment="1">
      <alignment horizontal="center" vertical="center" wrapText="1"/>
    </xf>
    <xf numFmtId="0" fontId="64" fillId="0" borderId="94" xfId="14" applyFont="1" applyFill="1" applyBorder="1" applyAlignment="1">
      <alignment horizontal="center" vertical="center" wrapText="1"/>
    </xf>
    <xf numFmtId="0" fontId="64" fillId="0" borderId="59" xfId="14" applyFont="1" applyFill="1" applyBorder="1" applyAlignment="1">
      <alignment horizontal="center" vertical="center" wrapText="1"/>
    </xf>
    <xf numFmtId="0" fontId="64" fillId="0" borderId="155" xfId="14" applyFont="1" applyFill="1" applyBorder="1" applyAlignment="1">
      <alignment horizontal="center" vertical="center" wrapText="1"/>
    </xf>
    <xf numFmtId="0" fontId="63" fillId="4" borderId="22" xfId="14" applyFont="1" applyFill="1" applyBorder="1" applyAlignment="1">
      <alignment horizontal="right" vertical="center"/>
    </xf>
    <xf numFmtId="0" fontId="63" fillId="4" borderId="23" xfId="14" applyFont="1" applyFill="1" applyBorder="1" applyAlignment="1">
      <alignment horizontal="right" vertical="center"/>
    </xf>
    <xf numFmtId="0" fontId="4" fillId="4" borderId="24" xfId="9" applyFill="1" applyBorder="1" applyAlignment="1">
      <alignment horizontal="right" vertical="center"/>
    </xf>
    <xf numFmtId="0" fontId="22" fillId="0" borderId="49" xfId="0" applyFont="1" applyFill="1" applyBorder="1" applyAlignment="1">
      <alignment horizontal="center" vertical="center"/>
    </xf>
    <xf numFmtId="165" fontId="21" fillId="0" borderId="0" xfId="0" applyNumberFormat="1" applyFont="1" applyFill="1" applyAlignment="1">
      <alignment horizontal="center"/>
    </xf>
    <xf numFmtId="37" fontId="85" fillId="0" borderId="0" xfId="208" applyNumberFormat="1" applyFont="1" applyFill="1" applyBorder="1" applyAlignment="1" applyProtection="1">
      <alignment horizontal="center" vertical="center"/>
    </xf>
    <xf numFmtId="0" fontId="85" fillId="0" borderId="0" xfId="209" applyFont="1" applyBorder="1" applyAlignment="1">
      <alignment horizontal="center"/>
    </xf>
    <xf numFmtId="37" fontId="98" fillId="4" borderId="163" xfId="208" applyNumberFormat="1" applyFont="1" applyFill="1" applyBorder="1" applyAlignment="1">
      <alignment horizontal="center" vertical="center"/>
    </xf>
    <xf numFmtId="37" fontId="98" fillId="4" borderId="164" xfId="208" applyNumberFormat="1" applyFont="1" applyFill="1" applyBorder="1" applyAlignment="1">
      <alignment horizontal="center" vertical="center"/>
    </xf>
    <xf numFmtId="39" fontId="98" fillId="4" borderId="163" xfId="208" applyNumberFormat="1" applyFont="1" applyFill="1" applyBorder="1" applyAlignment="1">
      <alignment horizontal="center" vertical="center"/>
    </xf>
    <xf numFmtId="39" fontId="98" fillId="4" borderId="164" xfId="208" applyNumberFormat="1" applyFont="1" applyFill="1" applyBorder="1" applyAlignment="1">
      <alignment horizontal="center" vertical="center"/>
    </xf>
  </cellXfs>
  <cellStyles count="212">
    <cellStyle name="Accent1 - 20%" xfId="15"/>
    <cellStyle name="Accent1 - 40%" xfId="16"/>
    <cellStyle name="Accent1 - 60%" xfId="17"/>
    <cellStyle name="Accent2 - 20%" xfId="18"/>
    <cellStyle name="Accent2 - 40%" xfId="19"/>
    <cellStyle name="Accent2 - 60%" xfId="20"/>
    <cellStyle name="Accent3 - 20%" xfId="21"/>
    <cellStyle name="Accent3 - 40%" xfId="22"/>
    <cellStyle name="Accent3 - 60%" xfId="23"/>
    <cellStyle name="Accent4 - 20%" xfId="24"/>
    <cellStyle name="Accent4 - 40%" xfId="25"/>
    <cellStyle name="Accent4 - 60%" xfId="26"/>
    <cellStyle name="Accent5 - 20%" xfId="27"/>
    <cellStyle name="Accent5 - 40%" xfId="28"/>
    <cellStyle name="Accent5 - 60%" xfId="29"/>
    <cellStyle name="Accent6 - 20%" xfId="30"/>
    <cellStyle name="Accent6 - 40%" xfId="31"/>
    <cellStyle name="Accent6 - 60%" xfId="32"/>
    <cellStyle name="Comma" xfId="2" builtinId="3"/>
    <cellStyle name="Comma [0]" xfId="1" builtinId="6"/>
    <cellStyle name="Comma [0] 10" xfId="33"/>
    <cellStyle name="Comma [0] 11" xfId="34"/>
    <cellStyle name="Comma [0] 12" xfId="35"/>
    <cellStyle name="Comma [0] 13" xfId="36"/>
    <cellStyle name="Comma [0] 14" xfId="37"/>
    <cellStyle name="Comma [0] 2" xfId="38"/>
    <cellStyle name="Comma [0] 2 10" xfId="12"/>
    <cellStyle name="Comma [0] 2 11" xfId="211"/>
    <cellStyle name="Comma [0] 2 2" xfId="39"/>
    <cellStyle name="Comma [0] 2 2 2" xfId="40"/>
    <cellStyle name="Comma [0] 2 2 8" xfId="41"/>
    <cellStyle name="Comma [0] 2 3" xfId="42"/>
    <cellStyle name="Comma [0] 2 4" xfId="43"/>
    <cellStyle name="Comma [0] 2 5" xfId="44"/>
    <cellStyle name="Comma [0] 2 6" xfId="45"/>
    <cellStyle name="Comma [0] 2 7" xfId="46"/>
    <cellStyle name="Comma [0] 2 8" xfId="47"/>
    <cellStyle name="Comma [0] 2 9" xfId="48"/>
    <cellStyle name="Comma [0] 20" xfId="49"/>
    <cellStyle name="Comma [0] 3" xfId="5"/>
    <cellStyle name="Comma [0] 3 2" xfId="50"/>
    <cellStyle name="Comma [0] 4" xfId="51"/>
    <cellStyle name="Comma [0] 4 2" xfId="52"/>
    <cellStyle name="Comma [0] 4 3" xfId="53"/>
    <cellStyle name="Comma [0] 4 3 2" xfId="54"/>
    <cellStyle name="Comma [0] 4 3 2 2" xfId="55"/>
    <cellStyle name="Comma [0] 4 3 2 3" xfId="56"/>
    <cellStyle name="Comma [0] 4 3 3" xfId="57"/>
    <cellStyle name="Comma [0] 4 3 4" xfId="58"/>
    <cellStyle name="Comma [0] 5" xfId="59"/>
    <cellStyle name="Comma [0] 5 2" xfId="60"/>
    <cellStyle name="Comma [0] 5 3" xfId="61"/>
    <cellStyle name="Comma [0] 6" xfId="62"/>
    <cellStyle name="Comma [0] 6 2" xfId="63"/>
    <cellStyle name="Comma [0] 6 3" xfId="64"/>
    <cellStyle name="Comma [0] 7" xfId="65"/>
    <cellStyle name="Comma [0] 8" xfId="66"/>
    <cellStyle name="Comma [0] 9" xfId="67"/>
    <cellStyle name="Comma 10" xfId="68"/>
    <cellStyle name="Comma 10 2" xfId="69"/>
    <cellStyle name="Comma 11" xfId="70"/>
    <cellStyle name="Comma 12" xfId="71"/>
    <cellStyle name="Comma 13" xfId="72"/>
    <cellStyle name="Comma 14" xfId="73"/>
    <cellStyle name="Comma 15" xfId="74"/>
    <cellStyle name="Comma 16" xfId="75"/>
    <cellStyle name="Comma 16 2" xfId="76"/>
    <cellStyle name="Comma 16 3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19 3" xfId="86"/>
    <cellStyle name="Comma 2" xfId="87"/>
    <cellStyle name="Comma 2 2" xfId="88"/>
    <cellStyle name="Comma 2 2 2" xfId="10"/>
    <cellStyle name="Comma 2 2 3" xfId="89"/>
    <cellStyle name="Comma 2 2 4" xfId="90"/>
    <cellStyle name="Comma 2 3" xfId="91"/>
    <cellStyle name="Comma 2 3 2" xfId="92"/>
    <cellStyle name="Comma 2 3 2 2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20" xfId="100"/>
    <cellStyle name="Comma 20 2" xfId="101"/>
    <cellStyle name="Comma 20 3" xfId="102"/>
    <cellStyle name="Comma 21" xfId="103"/>
    <cellStyle name="Comma 21 2" xfId="104"/>
    <cellStyle name="Comma 21 3" xfId="105"/>
    <cellStyle name="Comma 22" xfId="106"/>
    <cellStyle name="Comma 23" xfId="107"/>
    <cellStyle name="Comma 24" xfId="108"/>
    <cellStyle name="Comma 25" xfId="109"/>
    <cellStyle name="Comma 26" xfId="110"/>
    <cellStyle name="Comma 27" xfId="111"/>
    <cellStyle name="Comma 28" xfId="112"/>
    <cellStyle name="Comma 29" xfId="113"/>
    <cellStyle name="Comma 3" xfId="114"/>
    <cellStyle name="Comma 3 2" xfId="115"/>
    <cellStyle name="Comma 30" xfId="116"/>
    <cellStyle name="Comma 31" xfId="117"/>
    <cellStyle name="Comma 4" xfId="4"/>
    <cellStyle name="Comma 4 2" xfId="118"/>
    <cellStyle name="Comma 4 3" xfId="119"/>
    <cellStyle name="Comma 4 3 2" xfId="120"/>
    <cellStyle name="Comma 4 3 2 2" xfId="121"/>
    <cellStyle name="Comma 4 3 2 3" xfId="122"/>
    <cellStyle name="Comma 4 3 3" xfId="123"/>
    <cellStyle name="Comma 4 3 4" xfId="124"/>
    <cellStyle name="Comma 5" xfId="125"/>
    <cellStyle name="Comma 5 2" xfId="126"/>
    <cellStyle name="Comma 5 3" xfId="127"/>
    <cellStyle name="Comma 6" xfId="128"/>
    <cellStyle name="Comma 6 2" xfId="129"/>
    <cellStyle name="Comma 6 3" xfId="130"/>
    <cellStyle name="Comma 7" xfId="131"/>
    <cellStyle name="Comma 8" xfId="132"/>
    <cellStyle name="Comma 9" xfId="11"/>
    <cellStyle name="Comma_pemenang 5" xfId="133"/>
    <cellStyle name="Comma0" xfId="134"/>
    <cellStyle name="Currency0" xfId="135"/>
    <cellStyle name="Date" xfId="136"/>
    <cellStyle name="Emphasis 1" xfId="137"/>
    <cellStyle name="Emphasis 2" xfId="138"/>
    <cellStyle name="Emphasis 3" xfId="139"/>
    <cellStyle name="F2" xfId="140"/>
    <cellStyle name="F3" xfId="141"/>
    <cellStyle name="F4" xfId="142"/>
    <cellStyle name="F5" xfId="143"/>
    <cellStyle name="F6" xfId="144"/>
    <cellStyle name="F7" xfId="145"/>
    <cellStyle name="F8" xfId="146"/>
    <cellStyle name="Fixed" xfId="147"/>
    <cellStyle name="Header1" xfId="148"/>
    <cellStyle name="Header2" xfId="149"/>
    <cellStyle name="Hyperlink 2" xfId="150"/>
    <cellStyle name="Hyperlink 3" xfId="151"/>
    <cellStyle name="Hyperlink 4" xfId="152"/>
    <cellStyle name="Normal" xfId="0" builtinId="0"/>
    <cellStyle name="Normal 10" xfId="8"/>
    <cellStyle name="Normal 11" xfId="153"/>
    <cellStyle name="Normal 12" xfId="154"/>
    <cellStyle name="Normal 13" xfId="155"/>
    <cellStyle name="Normal 14" xfId="156"/>
    <cellStyle name="Normal 15" xfId="157"/>
    <cellStyle name="Normal 15 2" xfId="9"/>
    <cellStyle name="Normal 16" xfId="158"/>
    <cellStyle name="Normal 17" xfId="159"/>
    <cellStyle name="Normal 18" xfId="208"/>
    <cellStyle name="Normal 2" xfId="160"/>
    <cellStyle name="Normal 2 10" xfId="161"/>
    <cellStyle name="Normal 2 11" xfId="162"/>
    <cellStyle name="Normal 2 12" xfId="210"/>
    <cellStyle name="Normal 2 2" xfId="3"/>
    <cellStyle name="Normal 2 2 10" xfId="163"/>
    <cellStyle name="Normal 2 2 2" xfId="164"/>
    <cellStyle name="Normal 2 2 3" xfId="165"/>
    <cellStyle name="Normal 2 2 4" xfId="166"/>
    <cellStyle name="Normal 2 2 5" xfId="167"/>
    <cellStyle name="Normal 2 2 6" xfId="168"/>
    <cellStyle name="Normal 2 2 7" xfId="169"/>
    <cellStyle name="Normal 2 2 8" xfId="170"/>
    <cellStyle name="Normal 2 2 9" xfId="171"/>
    <cellStyle name="Normal 2 3" xfId="172"/>
    <cellStyle name="Normal 2 35 2" xfId="173"/>
    <cellStyle name="Normal 2 4" xfId="174"/>
    <cellStyle name="Normal 2 4 2" xfId="175"/>
    <cellStyle name="Normal 2 5" xfId="176"/>
    <cellStyle name="Normal 2 6" xfId="177"/>
    <cellStyle name="Normal 2 7" xfId="178"/>
    <cellStyle name="Normal 2 8" xfId="179"/>
    <cellStyle name="Normal 2 9" xfId="180"/>
    <cellStyle name="Normal 21" xfId="14"/>
    <cellStyle name="Normal 3" xfId="13"/>
    <cellStyle name="Normal 3 11" xfId="181"/>
    <cellStyle name="Normal 3 2" xfId="182"/>
    <cellStyle name="Normal 3 2 2" xfId="183"/>
    <cellStyle name="Normal 3 2 2 2" xfId="184"/>
    <cellStyle name="Normal 3 3" xfId="185"/>
    <cellStyle name="Normal 3 4" xfId="186"/>
    <cellStyle name="Normal 3 5" xfId="187"/>
    <cellStyle name="Normal 4" xfId="7"/>
    <cellStyle name="Normal 4 2" xfId="188"/>
    <cellStyle name="Normal 47" xfId="189"/>
    <cellStyle name="Normal 5" xfId="190"/>
    <cellStyle name="Normal 5 2" xfId="191"/>
    <cellStyle name="Normal 5 3" xfId="192"/>
    <cellStyle name="Normal 6" xfId="6"/>
    <cellStyle name="Normal 6 2" xfId="193"/>
    <cellStyle name="Normal 7" xfId="194"/>
    <cellStyle name="Normal 7 2" xfId="195"/>
    <cellStyle name="Normal 7 3" xfId="196"/>
    <cellStyle name="Normal 8" xfId="197"/>
    <cellStyle name="Normal 8 2" xfId="198"/>
    <cellStyle name="Normal 9" xfId="199"/>
    <cellStyle name="Normal_Analisa Harga Satuan (version 2)" xfId="207"/>
    <cellStyle name="Normal_L" xfId="209"/>
    <cellStyle name="Normal_RAB02" xfId="200"/>
    <cellStyle name="Percent 2" xfId="201"/>
    <cellStyle name="Percent 2 2" xfId="202"/>
    <cellStyle name="Percent 3" xfId="203"/>
    <cellStyle name="Percent 4" xfId="204"/>
    <cellStyle name="Sheet Title" xfId="205"/>
    <cellStyle name="tgl" xfId="206"/>
  </cellStyles>
  <dxfs count="0"/>
  <tableStyles count="0" defaultTableStyle="TableStyleMedium9" defaultPivotStyle="PivotStyleLight16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942973</xdr:colOff>
      <xdr:row>28</xdr:row>
      <xdr:rowOff>178596</xdr:rowOff>
    </xdr:from>
    <xdr:to>
      <xdr:col>10</xdr:col>
      <xdr:colOff>61912</xdr:colOff>
      <xdr:row>37</xdr:row>
      <xdr:rowOff>45246</xdr:rowOff>
    </xdr:to>
    <xdr:sp macro="" textlink="">
      <xdr:nvSpPr>
        <xdr:cNvPr id="2" name="TextBox 1"/>
        <xdr:cNvSpPr txBox="1"/>
      </xdr:nvSpPr>
      <xdr:spPr>
        <a:xfrm>
          <a:off x="4550567" y="6465096"/>
          <a:ext cx="2250283" cy="158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Medan,     Maret 202</a:t>
          </a:r>
          <a:r>
            <a:rPr lang="id-ID" sz="1100"/>
            <a:t>3</a:t>
          </a:r>
          <a:endParaRPr lang="en-US" sz="1100"/>
        </a:p>
        <a:p>
          <a:pPr algn="ctr"/>
          <a:r>
            <a:rPr lang="en-US" sz="1100"/>
            <a:t>Dibuat</a:t>
          </a:r>
          <a:r>
            <a:rPr lang="en-US" sz="1100" baseline="0"/>
            <a:t> Oleh</a:t>
          </a:r>
        </a:p>
        <a:p>
          <a:pPr algn="ctr"/>
          <a:r>
            <a:rPr lang="id-ID" sz="1100" baseline="0"/>
            <a:t>PT</a:t>
          </a:r>
          <a:r>
            <a:rPr lang="en-US" sz="1100" baseline="0"/>
            <a:t>. </a:t>
          </a:r>
          <a:r>
            <a:rPr lang="id-ID" sz="1100" baseline="0"/>
            <a:t>BINA MITRA ARTANAMI</a:t>
          </a:r>
          <a:endParaRPr lang="en-US" sz="1100" baseline="0"/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id-ID" sz="1100" b="1" u="sng"/>
            <a:t>SATRIA</a:t>
          </a:r>
          <a:r>
            <a:rPr lang="id-ID" sz="1100" b="1" u="sng" baseline="0"/>
            <a:t> DARMA</a:t>
          </a:r>
          <a:endParaRPr lang="en-US" sz="1100" b="1" u="sng"/>
        </a:p>
        <a:p>
          <a:pPr algn="ctr"/>
          <a:r>
            <a:rPr lang="en-US" sz="1100"/>
            <a:t>TENAGA AHLI</a:t>
          </a:r>
        </a:p>
      </xdr:txBody>
    </xdr:sp>
    <xdr:clientData/>
  </xdr:twoCellAnchor>
  <xdr:twoCellAnchor>
    <xdr:from>
      <xdr:col>0</xdr:col>
      <xdr:colOff>35718</xdr:colOff>
      <xdr:row>28</xdr:row>
      <xdr:rowOff>178596</xdr:rowOff>
    </xdr:from>
    <xdr:to>
      <xdr:col>4</xdr:col>
      <xdr:colOff>269080</xdr:colOff>
      <xdr:row>36</xdr:row>
      <xdr:rowOff>178596</xdr:rowOff>
    </xdr:to>
    <xdr:sp macro="" textlink="">
      <xdr:nvSpPr>
        <xdr:cNvPr id="3" name="TextBox 2"/>
        <xdr:cNvSpPr txBox="1"/>
      </xdr:nvSpPr>
      <xdr:spPr>
        <a:xfrm>
          <a:off x="35718" y="6465096"/>
          <a:ext cx="2019300" cy="15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 b="0" baseline="0"/>
        </a:p>
        <a:p>
          <a:pPr algn="ctr"/>
          <a:r>
            <a:rPr lang="en-US" sz="1100" b="0" baseline="0"/>
            <a:t>Diketahui</a:t>
          </a:r>
        </a:p>
        <a:p>
          <a:pPr algn="ctr"/>
          <a:r>
            <a:rPr lang="id-ID" sz="1100" b="0" baseline="0"/>
            <a:t>PT. BINA MITRA ARTANAMI</a:t>
          </a:r>
          <a:endParaRPr lang="en-US" sz="1100" b="0" baseline="0"/>
        </a:p>
        <a:p>
          <a:pPr algn="ctr"/>
          <a:endParaRPr lang="en-US" sz="1100" b="0" baseline="0"/>
        </a:p>
        <a:p>
          <a:pPr algn="ctr"/>
          <a:endParaRPr lang="en-US" sz="1100" b="0" baseline="0"/>
        </a:p>
        <a:p>
          <a:pPr algn="ctr"/>
          <a:endParaRPr lang="en-US" sz="1100" b="0" baseline="0"/>
        </a:p>
        <a:p>
          <a:pPr algn="ctr"/>
          <a:r>
            <a:rPr lang="id-ID" sz="1100" b="0" u="none" baseline="0"/>
            <a:t>SATRIA DARMA</a:t>
          </a:r>
          <a:endParaRPr lang="en-US" sz="1100" b="0" u="none" baseline="0"/>
        </a:p>
        <a:p>
          <a:pPr algn="ctr"/>
          <a:r>
            <a:rPr lang="en-US" sz="1100" b="0" u="none" baseline="0"/>
            <a:t>DIREKTUR</a:t>
          </a:r>
          <a:endParaRPr lang="en-US" sz="1100" b="1" u="sng" baseline="0"/>
        </a:p>
        <a:p>
          <a:pPr algn="ctr"/>
          <a:endParaRPr lang="en-US" sz="1100" b="0" baseline="0"/>
        </a:p>
      </xdr:txBody>
    </xdr:sp>
    <xdr:clientData/>
  </xdr:twoCellAnchor>
  <xdr:twoCellAnchor>
    <xdr:from>
      <xdr:col>4</xdr:col>
      <xdr:colOff>269080</xdr:colOff>
      <xdr:row>36</xdr:row>
      <xdr:rowOff>111919</xdr:rowOff>
    </xdr:from>
    <xdr:to>
      <xdr:col>7</xdr:col>
      <xdr:colOff>1228725</xdr:colOff>
      <xdr:row>48</xdr:row>
      <xdr:rowOff>166686</xdr:rowOff>
    </xdr:to>
    <xdr:sp macro="" textlink="">
      <xdr:nvSpPr>
        <xdr:cNvPr id="4" name="TextBox 3"/>
        <xdr:cNvSpPr txBox="1"/>
      </xdr:nvSpPr>
      <xdr:spPr>
        <a:xfrm>
          <a:off x="2055018" y="7160419"/>
          <a:ext cx="2781301" cy="2340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/>
            <a:t>Disetujui Oleh,</a:t>
          </a:r>
        </a:p>
        <a:p>
          <a:pPr algn="ctr"/>
          <a:r>
            <a:rPr lang="en-US" sz="1100" b="1" baseline="0"/>
            <a:t>KEPALA </a:t>
          </a:r>
          <a:r>
            <a:rPr lang="id-ID" sz="1100" b="1" baseline="0"/>
            <a:t>DINAS</a:t>
          </a:r>
          <a:r>
            <a:rPr lang="en-US" sz="1100" b="1" baseline="0"/>
            <a:t> </a:t>
          </a:r>
          <a:endParaRPr lang="id-ID" sz="1100" b="1" baseline="0"/>
        </a:p>
        <a:p>
          <a:pPr algn="ctr"/>
          <a:r>
            <a:rPr lang="id-ID" sz="1100" b="1" baseline="0"/>
            <a:t>KETAHANAN PANGAN, TANAMAN PANGAN DAN HORTIKULTURA</a:t>
          </a:r>
          <a:endParaRPr lang="en-US" sz="1100" b="1" baseline="0"/>
        </a:p>
        <a:p>
          <a:pPr algn="ctr"/>
          <a:r>
            <a:rPr lang="en-US" sz="1100" b="1" baseline="0"/>
            <a:t>SELAKU PENGGUNA ANGGARAN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id-ID" sz="1100" b="1" u="sng"/>
            <a:t>RAJALI,</a:t>
          </a:r>
          <a:r>
            <a:rPr lang="id-ID" sz="1100" b="1" u="sng" baseline="0"/>
            <a:t> S.Sos,MSP</a:t>
          </a:r>
          <a:endParaRPr lang="en-US" sz="1100" b="1" u="sng"/>
        </a:p>
        <a:p>
          <a:pPr algn="ctr"/>
          <a:r>
            <a:rPr lang="en-US" sz="1100">
              <a:solidFill>
                <a:sysClr val="windowText" lastClr="000000"/>
              </a:solidFill>
            </a:rPr>
            <a:t>NIP. 19690</a:t>
          </a:r>
          <a:r>
            <a:rPr lang="id-ID" sz="1100">
              <a:solidFill>
                <a:sysClr val="windowText" lastClr="000000"/>
              </a:solidFill>
            </a:rPr>
            <a:t>2</a:t>
          </a:r>
          <a:r>
            <a:rPr lang="en-US" sz="1100">
              <a:solidFill>
                <a:sysClr val="windowText" lastClr="000000"/>
              </a:solidFill>
            </a:rPr>
            <a:t>0</a:t>
          </a:r>
          <a:r>
            <a:rPr lang="id-ID" sz="1100">
              <a:solidFill>
                <a:sysClr val="windowText" lastClr="000000"/>
              </a:solidFill>
            </a:rPr>
            <a:t>8</a:t>
          </a:r>
          <a:r>
            <a:rPr lang="en-US" sz="1100">
              <a:solidFill>
                <a:sysClr val="windowText" lastClr="000000"/>
              </a:solidFill>
            </a:rPr>
            <a:t>.19</a:t>
          </a:r>
          <a:r>
            <a:rPr lang="id-ID" sz="1100">
              <a:solidFill>
                <a:sysClr val="windowText" lastClr="000000"/>
              </a:solidFill>
            </a:rPr>
            <a:t>8</a:t>
          </a:r>
          <a:r>
            <a:rPr lang="en-US" sz="1100">
              <a:solidFill>
                <a:sysClr val="windowText" lastClr="000000"/>
              </a:solidFill>
            </a:rPr>
            <a:t>4</a:t>
          </a:r>
          <a:r>
            <a:rPr lang="id-ID" sz="1100">
              <a:solidFill>
                <a:sysClr val="windowText" lastClr="000000"/>
              </a:solidFill>
            </a:rPr>
            <a:t>11</a:t>
          </a:r>
          <a:r>
            <a:rPr lang="en-US" sz="1100">
              <a:solidFill>
                <a:sysClr val="windowText" lastClr="000000"/>
              </a:solidFill>
            </a:rPr>
            <a:t>.1.00</a:t>
          </a:r>
          <a:r>
            <a:rPr lang="id-ID" sz="1100">
              <a:solidFill>
                <a:sysClr val="windowText" lastClr="000000"/>
              </a:solidFill>
            </a:rPr>
            <a:t>1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RRI/UPT%20PERTANIAN/FISIK%20UPT/RAB%20HANGGAR%20&amp;%20GUDANG%20BENGK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Ndang/AppData/Local/Temp/Rar$DIa1724.4807/VOLUME%20RUMAH%20KOMP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/AppData/Local/Temp/Documents%20and%20Settings/DNA/My%20Documents/sht%202008-DTKP/P.%20Perencanaan%20Depok/Perhitungan%20Perencanaan/PROYEK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rtanian%202019/Langkat/Jalan%20langkat%20kwala%20mencirim%20pasar%20VI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ERRI/UPT%20PERTANIAN/FISIK%20UPT/FISIK%20HANGGAR%20&amp;%20GUD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 ANALISA"/>
      <sheetName val="SUB"/>
      <sheetName val="QUANTYTI OK"/>
      <sheetName val="REK OK"/>
      <sheetName val="RAB"/>
      <sheetName val="Analisa SNI"/>
      <sheetName val="Harsat Upah"/>
      <sheetName val="SUB1"/>
      <sheetName val="Harsat Bahan"/>
      <sheetName val="QUANTYTI GUDANG"/>
      <sheetName val="QUANTYTI HANGGAR"/>
      <sheetName val="SUB2"/>
      <sheetName val="SUB3"/>
      <sheetName val="SUB4"/>
      <sheetName val="Perhit Beton"/>
      <sheetName val="SUB5"/>
      <sheetName val="Perhitungan Besi"/>
      <sheetName val="SUB6"/>
      <sheetName val="Berat Besi C"/>
      <sheetName val="Besi WF"/>
      <sheetName val="Besi Siku L"/>
      <sheetName val="Besi Str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 t="str">
            <v>: REHABILITASI SEDANG BERAT HANGGAR &amp; GUDANG BENGKEL</v>
          </cell>
        </row>
      </sheetData>
      <sheetData sheetId="7">
        <row r="147">
          <cell r="E147" t="str">
            <v>A 016</v>
          </cell>
        </row>
      </sheetData>
      <sheetData sheetId="8">
        <row r="9">
          <cell r="F9">
            <v>96000</v>
          </cell>
        </row>
        <row r="10">
          <cell r="F10">
            <v>115000</v>
          </cell>
        </row>
        <row r="11">
          <cell r="F11">
            <v>127500</v>
          </cell>
        </row>
        <row r="12">
          <cell r="F12">
            <v>115000</v>
          </cell>
        </row>
        <row r="13">
          <cell r="F13">
            <v>127500</v>
          </cell>
        </row>
        <row r="14">
          <cell r="F14">
            <v>115000</v>
          </cell>
        </row>
        <row r="15">
          <cell r="F15">
            <v>127500</v>
          </cell>
        </row>
        <row r="16">
          <cell r="F16">
            <v>115000</v>
          </cell>
        </row>
        <row r="17">
          <cell r="F17">
            <v>127500</v>
          </cell>
        </row>
        <row r="18">
          <cell r="F18">
            <v>115000</v>
          </cell>
        </row>
        <row r="19">
          <cell r="F19">
            <v>127500</v>
          </cell>
        </row>
        <row r="20">
          <cell r="F20">
            <v>115000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 ANALISA"/>
      <sheetName val="SUB"/>
      <sheetName val="BACK UP BESI BETON BACKISTING"/>
      <sheetName val="QUANTYTI OK"/>
      <sheetName val="REK OK"/>
      <sheetName val="RAB"/>
      <sheetName val="Analisa SNI"/>
      <sheetName val="Harga Upah"/>
      <sheetName val="SUB1"/>
      <sheetName val="Harga Bahan"/>
      <sheetName val="SUB2"/>
      <sheetName val="SUB3"/>
      <sheetName val="SUB4"/>
      <sheetName val="Perhit Beton"/>
      <sheetName val="SUB5"/>
      <sheetName val="Perhitungan Besi"/>
      <sheetName val="SUB6"/>
      <sheetName val="Berat Besi C"/>
      <sheetName val="Besi WF"/>
      <sheetName val="Besi Siku L"/>
      <sheetName val="Besi Strip"/>
      <sheetName val="Sheet1"/>
      <sheetName val="S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F5" t="str">
            <v>: PEMBANGUNAN PENAMBAHAN RUANG KANTOR UPT PP TANJUNG BALAI - ASAHAN</v>
          </cell>
        </row>
        <row r="13">
          <cell r="E13" t="str">
            <v>PEKERJAAN PERSIAPAN</v>
          </cell>
        </row>
        <row r="14">
          <cell r="E14" t="str">
            <v>Pengukuran &amp; Bowplank</v>
          </cell>
        </row>
        <row r="18">
          <cell r="E18" t="str">
            <v xml:space="preserve">PEKERJAAN TANAH </v>
          </cell>
        </row>
        <row r="22">
          <cell r="E22" t="str">
            <v xml:space="preserve">PEKERJAAN PONDASI </v>
          </cell>
        </row>
        <row r="54">
          <cell r="E54" t="str">
            <v xml:space="preserve">PEKERJAAN BESI DAN ALUMINIUM </v>
          </cell>
        </row>
        <row r="55">
          <cell r="E55" t="str">
            <v>Memasang 1 M2 atap baja ringan bentang lebih dari 8m + rangka dan reng</v>
          </cell>
        </row>
        <row r="82">
          <cell r="E82" t="str">
            <v>PEKERJAAN AKHIR</v>
          </cell>
        </row>
        <row r="83">
          <cell r="C83" t="str">
            <v xml:space="preserve">  </v>
          </cell>
        </row>
      </sheetData>
      <sheetData sheetId="8" refreshError="1">
        <row r="147">
          <cell r="E147" t="str">
            <v>A 016</v>
          </cell>
        </row>
        <row r="372">
          <cell r="F372" t="str">
            <v>Memasang 1 m3 pondasi batu belah, campuran 1 PC : 4 PP</v>
          </cell>
        </row>
        <row r="532">
          <cell r="F532" t="str">
            <v xml:space="preserve">PEKERJAAN BETON </v>
          </cell>
        </row>
        <row r="1238">
          <cell r="F1238" t="str">
            <v xml:space="preserve">PEKERJAAN DINDING </v>
          </cell>
        </row>
        <row r="1681">
          <cell r="F1681" t="str">
            <v xml:space="preserve">Mengecat 1 m2 Dinding </v>
          </cell>
        </row>
        <row r="2914">
          <cell r="F2914" t="str">
            <v xml:space="preserve">PEKERJAAN PLESTERAN </v>
          </cell>
        </row>
        <row r="2937">
          <cell r="F2937" t="str">
            <v>Membuat 1 m2 plesteran 1 PC : 2 PP, tebal 15 mm</v>
          </cell>
        </row>
        <row r="2959">
          <cell r="F2959" t="str">
            <v>Membuat 1 m2 plesteran 1 PC : 4 PP, tebal 15 mm</v>
          </cell>
        </row>
        <row r="3225">
          <cell r="F3225" t="str">
            <v xml:space="preserve">PEKERJAAN KAYU </v>
          </cell>
        </row>
        <row r="3688">
          <cell r="F3688" t="str">
            <v>Memasang 1 unit pintu PVC+ accessories</v>
          </cell>
        </row>
        <row r="4120">
          <cell r="F4120" t="str">
            <v>Memasang 1 m1 lisplank Kalsi uk. 6 mm x 20 cm</v>
          </cell>
        </row>
        <row r="4153">
          <cell r="F4153" t="str">
            <v>PEKERJAAN PENUTUP ATAP</v>
          </cell>
        </row>
        <row r="4237">
          <cell r="F4237" t="str">
            <v>Memasang 1 m2 penutup atap Zincalume</v>
          </cell>
        </row>
        <row r="4568">
          <cell r="F4568" t="str">
            <v>PEKERJAAN SANITAIR</v>
          </cell>
        </row>
        <row r="4591">
          <cell r="F4591" t="str">
            <v>Memasang 1 buah Bak KM fiber 45 x 45</v>
          </cell>
        </row>
        <row r="4776">
          <cell r="F4776" t="str">
            <v>Memasang 1 m'  PVC tipe AW ø 3"</v>
          </cell>
        </row>
        <row r="4798">
          <cell r="F4798" t="str">
            <v>Memasang 1 bh kran air ø 1/2"</v>
          </cell>
        </row>
        <row r="4875">
          <cell r="F4875" t="str">
            <v>PEKERJAAN ELEKTRIKAL</v>
          </cell>
        </row>
        <row r="4876">
          <cell r="F4876" t="str">
            <v>Memasang 1 Titik Instalasi Penerangan</v>
          </cell>
        </row>
        <row r="4965">
          <cell r="F4965" t="str">
            <v>Memasang 1 Bh Stop Kontak, 1 Phase, 10 A, 250 VAC</v>
          </cell>
        </row>
        <row r="5013">
          <cell r="F5013" t="str">
            <v>Memasang 1 Bh Lampu SL 18 Watt</v>
          </cell>
        </row>
      </sheetData>
      <sheetData sheetId="9" refreshError="1">
        <row r="9">
          <cell r="F9">
            <v>90000</v>
          </cell>
        </row>
        <row r="10">
          <cell r="F10">
            <v>120000</v>
          </cell>
        </row>
        <row r="11">
          <cell r="F11">
            <v>130000</v>
          </cell>
        </row>
        <row r="12">
          <cell r="F12">
            <v>120000</v>
          </cell>
        </row>
        <row r="13">
          <cell r="F13">
            <v>130000</v>
          </cell>
        </row>
        <row r="14">
          <cell r="F14">
            <v>120000</v>
          </cell>
        </row>
        <row r="15">
          <cell r="F15">
            <v>130000</v>
          </cell>
        </row>
        <row r="16">
          <cell r="F16">
            <v>120000</v>
          </cell>
        </row>
        <row r="17">
          <cell r="F17">
            <v>130000</v>
          </cell>
        </row>
        <row r="18">
          <cell r="F18">
            <v>120000</v>
          </cell>
        </row>
        <row r="19">
          <cell r="F19">
            <v>130000</v>
          </cell>
        </row>
        <row r="20">
          <cell r="F20">
            <v>135000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 ANGGARAN"/>
      <sheetName val="Sheet1"/>
      <sheetName val="analisa"/>
      <sheetName val="harga satuan"/>
      <sheetName val="RAB. al.2"/>
      <sheetName val="RAB. al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bq"/>
      <sheetName val="SDA"/>
      <sheetName val="Analisa"/>
      <sheetName val="Perhitungan Ongkos"/>
      <sheetName val="00000000"/>
      <sheetName val="Sheet3"/>
      <sheetName val="Hrg. Sat. Upah (2)"/>
      <sheetName val="Hrg. Sat. Upah (3)"/>
      <sheetName val="Ongkos Pikul"/>
      <sheetName val="Perhitungan Ongkos (2)"/>
      <sheetName val="Back Up"/>
      <sheetName val="BACKUP DATA"/>
    </sheetNames>
    <sheetDataSet>
      <sheetData sheetId="0"/>
      <sheetData sheetId="1">
        <row r="1">
          <cell r="B1" t="str">
            <v>RENCANA ANGGARAN BIAYA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YTI OK"/>
      <sheetName val="BACK UP BESI BETON BACKISTING"/>
      <sheetName val="BACK-UP DATA"/>
      <sheetName val="H.SATUAN"/>
      <sheetName val="RKP Anl"/>
      <sheetName val="DAFTAR UPAH"/>
      <sheetName val="ANL"/>
      <sheetName val="DIHIT"/>
      <sheetName val="ANALISA ALAT"/>
      <sheetName val="link"/>
      <sheetName val="PRINT ANALISA"/>
      <sheetName val="RAB"/>
    </sheetNames>
    <sheetDataSet>
      <sheetData sheetId="0" refreshError="1"/>
      <sheetData sheetId="1" refreshError="1"/>
      <sheetData sheetId="2" refreshError="1"/>
      <sheetData sheetId="3">
        <row r="29">
          <cell r="D29">
            <v>84821.428571428565</v>
          </cell>
        </row>
        <row r="30">
          <cell r="D30">
            <v>128571.42857142857</v>
          </cell>
        </row>
        <row r="32">
          <cell r="D32">
            <v>85714.28571428571</v>
          </cell>
        </row>
        <row r="34">
          <cell r="D34">
            <v>3187.5</v>
          </cell>
        </row>
        <row r="36">
          <cell r="D36">
            <v>1250</v>
          </cell>
        </row>
        <row r="65">
          <cell r="D65">
            <v>10500</v>
          </cell>
        </row>
        <row r="67">
          <cell r="D67">
            <v>1100000</v>
          </cell>
        </row>
        <row r="73">
          <cell r="D73">
            <v>1750</v>
          </cell>
        </row>
        <row r="78">
          <cell r="D78">
            <v>6650</v>
          </cell>
        </row>
        <row r="80">
          <cell r="D80">
            <v>56100</v>
          </cell>
        </row>
        <row r="83">
          <cell r="D83">
            <v>8415</v>
          </cell>
        </row>
        <row r="112">
          <cell r="D112">
            <v>340000</v>
          </cell>
        </row>
        <row r="114">
          <cell r="D114">
            <v>72250</v>
          </cell>
        </row>
        <row r="129">
          <cell r="D129">
            <v>40000</v>
          </cell>
        </row>
        <row r="133">
          <cell r="D133">
            <v>7500</v>
          </cell>
        </row>
        <row r="136">
          <cell r="D136">
            <v>165000</v>
          </cell>
        </row>
      </sheetData>
      <sheetData sheetId="4" refreshError="1"/>
      <sheetData sheetId="5">
        <row r="11">
          <cell r="G11">
            <v>115000</v>
          </cell>
        </row>
        <row r="12">
          <cell r="G12">
            <v>127500</v>
          </cell>
        </row>
        <row r="13">
          <cell r="G13">
            <v>115000</v>
          </cell>
        </row>
        <row r="14">
          <cell r="G14">
            <v>96000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47"/>
  <sheetViews>
    <sheetView view="pageBreakPreview" topLeftCell="A25" zoomScale="85" zoomScaleNormal="90" zoomScaleSheetLayoutView="85" workbookViewId="0">
      <selection activeCell="M45" sqref="M45"/>
    </sheetView>
  </sheetViews>
  <sheetFormatPr defaultRowHeight="15" x14ac:dyDescent="0.25"/>
  <cols>
    <col min="1" max="1" width="4.7109375" style="372" customWidth="1"/>
    <col min="2" max="2" width="5.5703125" style="372" customWidth="1"/>
    <col min="3" max="3" width="29.42578125" style="372" customWidth="1"/>
    <col min="4" max="4" width="8.140625" style="372" customWidth="1"/>
    <col min="5" max="5" width="8" style="372" customWidth="1"/>
    <col min="6" max="6" width="9.42578125" style="372" bestFit="1" customWidth="1"/>
    <col min="7" max="7" width="9.5703125" style="372" bestFit="1" customWidth="1"/>
    <col min="8" max="10" width="9.42578125" style="372" bestFit="1" customWidth="1"/>
    <col min="11" max="11" width="9.5703125" style="372" bestFit="1" customWidth="1"/>
    <col min="12" max="13" width="9.42578125" style="372" bestFit="1" customWidth="1"/>
    <col min="14" max="14" width="9.5703125" style="372" bestFit="1" customWidth="1"/>
    <col min="15" max="21" width="9.42578125" style="372" bestFit="1" customWidth="1"/>
    <col min="22" max="22" width="12.28515625" style="372" bestFit="1" customWidth="1"/>
    <col min="23" max="16384" width="9.140625" style="372"/>
  </cols>
  <sheetData>
    <row r="1" spans="1:23" ht="15.75" thickBot="1" x14ac:dyDescent="0.3">
      <c r="C1" s="787">
        <f>RAB!P163</f>
        <v>0</v>
      </c>
    </row>
    <row r="2" spans="1:23" s="377" customFormat="1" ht="29.25" thickTop="1" x14ac:dyDescent="0.45">
      <c r="A2" s="624"/>
      <c r="B2" s="374" t="s">
        <v>1</v>
      </c>
      <c r="C2" s="373" t="s">
        <v>656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5"/>
      <c r="W2" s="376"/>
    </row>
    <row r="3" spans="1:23" s="377" customFormat="1" ht="13.5" thickBot="1" x14ac:dyDescent="0.25">
      <c r="A3" s="378"/>
      <c r="B3" s="379"/>
      <c r="C3" s="380"/>
      <c r="D3" s="381"/>
      <c r="E3" s="381"/>
      <c r="F3" s="381"/>
      <c r="G3" s="381"/>
      <c r="H3" s="381"/>
      <c r="I3" s="378"/>
      <c r="J3" s="382"/>
      <c r="K3" s="381"/>
      <c r="L3" s="378"/>
      <c r="M3" s="382"/>
      <c r="N3" s="381"/>
      <c r="O3" s="378"/>
      <c r="P3" s="378"/>
      <c r="Q3" s="378"/>
      <c r="R3" s="378"/>
      <c r="S3" s="378"/>
      <c r="T3" s="378"/>
      <c r="U3" s="378"/>
      <c r="V3" s="383"/>
      <c r="W3" s="378"/>
    </row>
    <row r="4" spans="1:23" s="377" customFormat="1" ht="13.5" thickTop="1" x14ac:dyDescent="0.2">
      <c r="A4" s="384"/>
      <c r="B4" s="385"/>
      <c r="C4" s="386"/>
      <c r="D4" s="1494" t="s">
        <v>657</v>
      </c>
      <c r="E4" s="1495"/>
      <c r="F4" s="1495"/>
      <c r="G4" s="1495"/>
      <c r="H4" s="1495"/>
      <c r="I4" s="1496"/>
      <c r="J4" s="1507" t="s">
        <v>658</v>
      </c>
      <c r="K4" s="1508"/>
      <c r="L4" s="1509"/>
      <c r="M4" s="1507" t="s">
        <v>658</v>
      </c>
      <c r="N4" s="1508"/>
      <c r="O4" s="1508"/>
      <c r="P4" s="1508"/>
      <c r="Q4" s="1508"/>
      <c r="R4" s="1508"/>
      <c r="S4" s="1509"/>
      <c r="T4" s="387" t="s">
        <v>142</v>
      </c>
      <c r="U4" s="388" t="s">
        <v>142</v>
      </c>
      <c r="V4" s="389" t="s">
        <v>659</v>
      </c>
      <c r="W4" s="381"/>
    </row>
    <row r="5" spans="1:23" s="377" customFormat="1" ht="12.75" x14ac:dyDescent="0.2">
      <c r="A5" s="384"/>
      <c r="B5" s="390" t="s">
        <v>660</v>
      </c>
      <c r="C5" s="391" t="s">
        <v>147</v>
      </c>
      <c r="D5" s="392" t="s">
        <v>661</v>
      </c>
      <c r="E5" s="392" t="s">
        <v>662</v>
      </c>
      <c r="F5" s="393" t="s">
        <v>663</v>
      </c>
      <c r="G5" s="393" t="s">
        <v>476</v>
      </c>
      <c r="H5" s="393" t="s">
        <v>0</v>
      </c>
      <c r="I5" s="393" t="s">
        <v>664</v>
      </c>
      <c r="J5" s="1510" t="s">
        <v>665</v>
      </c>
      <c r="K5" s="1511"/>
      <c r="L5" s="1512"/>
      <c r="M5" s="1510" t="s">
        <v>666</v>
      </c>
      <c r="N5" s="1511"/>
      <c r="O5" s="1511"/>
      <c r="P5" s="1511"/>
      <c r="Q5" s="1511"/>
      <c r="R5" s="1511"/>
      <c r="S5" s="1512"/>
      <c r="T5" s="394" t="s">
        <v>596</v>
      </c>
      <c r="U5" s="392" t="s">
        <v>596</v>
      </c>
      <c r="V5" s="395" t="s">
        <v>596</v>
      </c>
      <c r="W5" s="381"/>
    </row>
    <row r="6" spans="1:23" s="377" customFormat="1" ht="13.5" thickBot="1" x14ac:dyDescent="0.25">
      <c r="A6" s="384"/>
      <c r="B6" s="396"/>
      <c r="C6" s="397"/>
      <c r="D6" s="398" t="s">
        <v>667</v>
      </c>
      <c r="E6" s="398" t="str">
        <f>D6</f>
        <v>( m )</v>
      </c>
      <c r="F6" s="399" t="s">
        <v>668</v>
      </c>
      <c r="G6" s="399" t="s">
        <v>669</v>
      </c>
      <c r="H6" s="399" t="s">
        <v>307</v>
      </c>
      <c r="I6" s="400" t="s">
        <v>670</v>
      </c>
      <c r="J6" s="401" t="s">
        <v>671</v>
      </c>
      <c r="K6" s="402" t="s">
        <v>140</v>
      </c>
      <c r="L6" s="403" t="s">
        <v>672</v>
      </c>
      <c r="M6" s="401" t="s">
        <v>671</v>
      </c>
      <c r="N6" s="402" t="str">
        <f>K6</f>
        <v>Kg/M'</v>
      </c>
      <c r="O6" s="404" t="s">
        <v>457</v>
      </c>
      <c r="P6" s="404" t="s">
        <v>673</v>
      </c>
      <c r="Q6" s="404" t="s">
        <v>674</v>
      </c>
      <c r="R6" s="404" t="s">
        <v>675</v>
      </c>
      <c r="S6" s="403" t="s">
        <v>676</v>
      </c>
      <c r="T6" s="405" t="s">
        <v>677</v>
      </c>
      <c r="U6" s="398" t="s">
        <v>143</v>
      </c>
      <c r="V6" s="406"/>
      <c r="W6" s="381"/>
    </row>
    <row r="7" spans="1:23" s="377" customFormat="1" ht="14.25" thickTop="1" thickBot="1" x14ac:dyDescent="0.25">
      <c r="A7" s="384"/>
      <c r="B7" s="407"/>
      <c r="C7" s="408" t="s">
        <v>678</v>
      </c>
      <c r="D7" s="409"/>
      <c r="E7" s="409"/>
      <c r="F7" s="410"/>
      <c r="G7" s="410"/>
      <c r="H7" s="410"/>
      <c r="I7" s="411"/>
      <c r="J7" s="412"/>
      <c r="K7" s="409"/>
      <c r="L7" s="413"/>
      <c r="M7" s="414"/>
      <c r="N7" s="409"/>
      <c r="O7" s="415"/>
      <c r="P7" s="415"/>
      <c r="Q7" s="415"/>
      <c r="R7" s="415"/>
      <c r="S7" s="413"/>
      <c r="T7" s="416"/>
      <c r="U7" s="409"/>
      <c r="V7" s="417"/>
      <c r="W7" s="378"/>
    </row>
    <row r="8" spans="1:23" s="377" customFormat="1" ht="13.5" thickTop="1" x14ac:dyDescent="0.2">
      <c r="A8" s="384"/>
      <c r="B8" s="418"/>
      <c r="C8" s="419"/>
      <c r="D8" s="420"/>
      <c r="E8" s="420"/>
      <c r="F8" s="421"/>
      <c r="G8" s="421"/>
      <c r="H8" s="421"/>
      <c r="I8" s="422"/>
      <c r="J8" s="423"/>
      <c r="K8" s="424"/>
      <c r="L8" s="425"/>
      <c r="M8" s="426"/>
      <c r="N8" s="424"/>
      <c r="O8" s="427"/>
      <c r="P8" s="427"/>
      <c r="Q8" s="427"/>
      <c r="R8" s="427"/>
      <c r="S8" s="428"/>
      <c r="T8" s="429"/>
      <c r="U8" s="430"/>
      <c r="V8" s="431"/>
      <c r="W8" s="378"/>
    </row>
    <row r="9" spans="1:23" s="435" customFormat="1" ht="12.75" x14ac:dyDescent="0.2">
      <c r="A9" s="432"/>
      <c r="B9" s="418">
        <v>1</v>
      </c>
      <c r="C9" s="419" t="s">
        <v>1055</v>
      </c>
      <c r="D9" s="420">
        <v>0.25</v>
      </c>
      <c r="E9" s="420">
        <v>0.25</v>
      </c>
      <c r="F9" s="421">
        <f>D9*E9</f>
        <v>6.25E-2</v>
      </c>
      <c r="G9" s="421">
        <f>'QUANTYTI OK'!K35</f>
        <v>3.75</v>
      </c>
      <c r="H9" s="421">
        <f>'QUANTYTI OK'!M35</f>
        <v>7</v>
      </c>
      <c r="I9" s="433">
        <f>F9*G9*H9</f>
        <v>1.640625</v>
      </c>
      <c r="J9" s="758">
        <v>10</v>
      </c>
      <c r="K9" s="424">
        <f>0.006165*J9*J9</f>
        <v>0.61650000000000005</v>
      </c>
      <c r="L9" s="425">
        <f>(3.5*4*7)/10</f>
        <v>9.8000000000000007</v>
      </c>
      <c r="M9" s="426">
        <v>6</v>
      </c>
      <c r="N9" s="424">
        <f>0.006165*M9*M9</f>
        <v>0.22194000000000003</v>
      </c>
      <c r="O9" s="427">
        <f t="shared" ref="O9:P11" si="0">D9-0.05</f>
        <v>0.2</v>
      </c>
      <c r="P9" s="427">
        <f t="shared" si="0"/>
        <v>0.2</v>
      </c>
      <c r="Q9" s="427">
        <f>0.025*2</f>
        <v>0.05</v>
      </c>
      <c r="R9" s="427">
        <v>0.15</v>
      </c>
      <c r="S9" s="428">
        <f>(G9*H9)/R9</f>
        <v>175</v>
      </c>
      <c r="T9" s="429">
        <f>G9*L9*K9*H9</f>
        <v>158.59462500000001</v>
      </c>
      <c r="U9" s="430">
        <f>((O9*2)+(P9*2)+Q9)*N9*S9</f>
        <v>33.01357500000001</v>
      </c>
      <c r="V9" s="434">
        <f>T9+U9</f>
        <v>191.60820000000001</v>
      </c>
      <c r="W9" s="378"/>
    </row>
    <row r="10" spans="1:23" s="435" customFormat="1" ht="12.75" x14ac:dyDescent="0.2">
      <c r="A10" s="432"/>
      <c r="B10" s="418">
        <v>2</v>
      </c>
      <c r="C10" s="419" t="s">
        <v>1056</v>
      </c>
      <c r="D10" s="420">
        <v>0.15</v>
      </c>
      <c r="E10" s="420">
        <v>0.15</v>
      </c>
      <c r="F10" s="421">
        <f>D10*E10</f>
        <v>2.2499999999999999E-2</v>
      </c>
      <c r="G10" s="421">
        <f>'QUANTYTI OK'!K36</f>
        <v>3.75</v>
      </c>
      <c r="H10" s="421">
        <v>6</v>
      </c>
      <c r="I10" s="433">
        <f>F10*G10*H10</f>
        <v>0.50624999999999998</v>
      </c>
      <c r="J10" s="423">
        <f>$J$9</f>
        <v>10</v>
      </c>
      <c r="K10" s="424">
        <f>0.006165*J10*J10</f>
        <v>0.61650000000000005</v>
      </c>
      <c r="L10" s="425">
        <v>4</v>
      </c>
      <c r="M10" s="426">
        <f>$M$9</f>
        <v>6</v>
      </c>
      <c r="N10" s="424">
        <f>0.006165*M10*M10</f>
        <v>0.22194000000000003</v>
      </c>
      <c r="O10" s="427">
        <f t="shared" si="0"/>
        <v>9.9999999999999992E-2</v>
      </c>
      <c r="P10" s="427">
        <f t="shared" si="0"/>
        <v>9.9999999999999992E-2</v>
      </c>
      <c r="Q10" s="427">
        <f>0.025*2</f>
        <v>0.05</v>
      </c>
      <c r="R10" s="427">
        <v>0.15</v>
      </c>
      <c r="S10" s="428">
        <f>(G10*H10)/R10</f>
        <v>150</v>
      </c>
      <c r="T10" s="429">
        <f>G10*L10*K10*H10</f>
        <v>55.484999999999999</v>
      </c>
      <c r="U10" s="430">
        <f>((O10*2)+(P10*2)+Q10)*N10*S10</f>
        <v>14.98095</v>
      </c>
      <c r="V10" s="434">
        <f>T10+U10</f>
        <v>70.465949999999992</v>
      </c>
      <c r="W10" s="378"/>
    </row>
    <row r="11" spans="1:23" s="435" customFormat="1" ht="12.75" x14ac:dyDescent="0.2">
      <c r="A11" s="432"/>
      <c r="B11" s="1328">
        <v>3</v>
      </c>
      <c r="C11" s="419" t="s">
        <v>1057</v>
      </c>
      <c r="D11" s="420">
        <v>0.25</v>
      </c>
      <c r="E11" s="420">
        <v>0.25</v>
      </c>
      <c r="F11" s="421">
        <f>D11*E11</f>
        <v>6.25E-2</v>
      </c>
      <c r="G11" s="421">
        <v>0.75</v>
      </c>
      <c r="H11" s="421">
        <v>7</v>
      </c>
      <c r="I11" s="433">
        <f>F11*G11*H11</f>
        <v>0.328125</v>
      </c>
      <c r="J11" s="423">
        <v>10</v>
      </c>
      <c r="K11" s="424">
        <f>0.006165*J11*J11</f>
        <v>0.61650000000000005</v>
      </c>
      <c r="L11" s="425">
        <f>(4*1.2*7)/10</f>
        <v>3.3600000000000003</v>
      </c>
      <c r="M11" s="426">
        <f>$M$9</f>
        <v>6</v>
      </c>
      <c r="N11" s="424">
        <f>0.006165*M11*M11</f>
        <v>0.22194000000000003</v>
      </c>
      <c r="O11" s="427">
        <f t="shared" si="0"/>
        <v>0.2</v>
      </c>
      <c r="P11" s="427">
        <f t="shared" si="0"/>
        <v>0.2</v>
      </c>
      <c r="Q11" s="427">
        <f>0.025*2</f>
        <v>0.05</v>
      </c>
      <c r="R11" s="427">
        <v>0.15</v>
      </c>
      <c r="S11" s="428">
        <f>(G11*H11)/R11</f>
        <v>35</v>
      </c>
      <c r="T11" s="429">
        <f>G11*L11*K11*H11</f>
        <v>10.875060000000003</v>
      </c>
      <c r="U11" s="430">
        <f>((O11*2)+(P11*2)+Q11)*N11*S11</f>
        <v>6.6027150000000017</v>
      </c>
      <c r="V11" s="434">
        <f>T11+U11</f>
        <v>17.477775000000005</v>
      </c>
      <c r="W11" s="378"/>
    </row>
    <row r="12" spans="1:23" s="435" customFormat="1" ht="12.75" x14ac:dyDescent="0.2">
      <c r="A12" s="432"/>
      <c r="B12" s="418">
        <v>4</v>
      </c>
      <c r="C12" s="419" t="str">
        <f>'QUANTYTI OK'!Q39</f>
        <v>Pondasi Tapak</v>
      </c>
      <c r="D12" s="420">
        <v>0.8</v>
      </c>
      <c r="E12" s="420">
        <v>0.3</v>
      </c>
      <c r="F12" s="421">
        <f>D12*E12</f>
        <v>0.24</v>
      </c>
      <c r="G12" s="421">
        <v>0.8</v>
      </c>
      <c r="H12" s="421">
        <v>7</v>
      </c>
      <c r="I12" s="433">
        <f>F12*G12*H12</f>
        <v>1.3440000000000001</v>
      </c>
      <c r="J12" s="423">
        <v>12</v>
      </c>
      <c r="K12" s="424">
        <f>0.006165*J12*J12</f>
        <v>0.8877600000000001</v>
      </c>
      <c r="L12" s="425">
        <f>140/10</f>
        <v>14</v>
      </c>
      <c r="M12" s="426"/>
      <c r="N12" s="424"/>
      <c r="O12" s="427"/>
      <c r="P12" s="427"/>
      <c r="Q12" s="427"/>
      <c r="R12" s="427"/>
      <c r="S12" s="428"/>
      <c r="T12" s="429">
        <f>G12*L12*K12*H12</f>
        <v>69.600384000000005</v>
      </c>
      <c r="U12" s="430">
        <f>((O12*2)+(P12*2)+Q12)*N12*S12</f>
        <v>0</v>
      </c>
      <c r="V12" s="434">
        <f>T12+U12</f>
        <v>69.600384000000005</v>
      </c>
      <c r="W12" s="378"/>
    </row>
    <row r="13" spans="1:23" s="377" customFormat="1" ht="13.5" thickBot="1" x14ac:dyDescent="0.25">
      <c r="A13" s="384"/>
      <c r="B13" s="456"/>
      <c r="C13" s="437"/>
      <c r="D13" s="438"/>
      <c r="E13" s="438"/>
      <c r="F13" s="439"/>
      <c r="G13" s="439"/>
      <c r="H13" s="439"/>
      <c r="I13" s="439"/>
      <c r="J13" s="457"/>
      <c r="K13" s="440"/>
      <c r="L13" s="458"/>
      <c r="M13" s="441"/>
      <c r="N13" s="424"/>
      <c r="O13" s="427"/>
      <c r="P13" s="427"/>
      <c r="Q13" s="427"/>
      <c r="R13" s="442"/>
      <c r="S13" s="443"/>
      <c r="T13" s="444"/>
      <c r="U13" s="445"/>
      <c r="V13" s="446"/>
      <c r="W13" s="378"/>
    </row>
    <row r="14" spans="1:23" s="377" customFormat="1" ht="14.25" thickTop="1" thickBot="1" x14ac:dyDescent="0.25">
      <c r="A14" s="384"/>
      <c r="B14" s="385"/>
      <c r="C14" s="386" t="s">
        <v>679</v>
      </c>
      <c r="D14" s="459"/>
      <c r="E14" s="459"/>
      <c r="F14" s="460"/>
      <c r="G14" s="460"/>
      <c r="H14" s="460"/>
      <c r="I14" s="461"/>
      <c r="J14" s="462"/>
      <c r="K14" s="459"/>
      <c r="L14" s="463"/>
      <c r="M14" s="464"/>
      <c r="N14" s="459"/>
      <c r="O14" s="465"/>
      <c r="P14" s="465"/>
      <c r="Q14" s="465"/>
      <c r="R14" s="465"/>
      <c r="S14" s="463"/>
      <c r="T14" s="466"/>
      <c r="U14" s="459"/>
      <c r="V14" s="467"/>
      <c r="W14" s="468"/>
    </row>
    <row r="15" spans="1:23" s="377" customFormat="1" ht="13.5" thickTop="1" x14ac:dyDescent="0.2">
      <c r="A15" s="384"/>
      <c r="B15" s="469"/>
      <c r="C15" s="470"/>
      <c r="D15" s="471"/>
      <c r="E15" s="471"/>
      <c r="F15" s="472"/>
      <c r="G15" s="472"/>
      <c r="H15" s="472"/>
      <c r="I15" s="473"/>
      <c r="J15" s="474"/>
      <c r="K15" s="471"/>
      <c r="L15" s="475"/>
      <c r="M15" s="476"/>
      <c r="N15" s="471"/>
      <c r="O15" s="477"/>
      <c r="P15" s="477"/>
      <c r="Q15" s="477"/>
      <c r="R15" s="477"/>
      <c r="S15" s="475"/>
      <c r="T15" s="478"/>
      <c r="U15" s="471"/>
      <c r="V15" s="479"/>
      <c r="W15" s="468"/>
    </row>
    <row r="16" spans="1:23" s="377" customFormat="1" ht="12.75" x14ac:dyDescent="0.2">
      <c r="A16" s="384"/>
      <c r="B16" s="418">
        <v>1</v>
      </c>
      <c r="C16" s="480" t="s">
        <v>1014</v>
      </c>
      <c r="D16" s="448">
        <v>0.2</v>
      </c>
      <c r="E16" s="448">
        <v>0.25</v>
      </c>
      <c r="F16" s="449">
        <f>D16*E16</f>
        <v>0.05</v>
      </c>
      <c r="G16" s="449">
        <f>'QUANTYTI OK'!I44</f>
        <v>49.900000000000006</v>
      </c>
      <c r="H16" s="449">
        <v>1</v>
      </c>
      <c r="I16" s="481">
        <f>F16*G16</f>
        <v>2.4950000000000006</v>
      </c>
      <c r="J16" s="423">
        <f>$J$9</f>
        <v>10</v>
      </c>
      <c r="K16" s="450">
        <f>0.006165*J16*J16</f>
        <v>0.61650000000000005</v>
      </c>
      <c r="L16" s="451">
        <f>((49.9+2)*4)/10</f>
        <v>20.759999999999998</v>
      </c>
      <c r="M16" s="426">
        <f>$M$9</f>
        <v>6</v>
      </c>
      <c r="N16" s="450">
        <f>0.006165*M16*M16</f>
        <v>0.22194000000000003</v>
      </c>
      <c r="O16" s="452">
        <f>D16-0.05</f>
        <v>0.15000000000000002</v>
      </c>
      <c r="P16" s="452">
        <f>E16-0.05</f>
        <v>0.2</v>
      </c>
      <c r="Q16" s="452">
        <f>0.025*2</f>
        <v>0.05</v>
      </c>
      <c r="R16" s="452">
        <v>0.15</v>
      </c>
      <c r="S16" s="453">
        <f>(G16*H16)/R16</f>
        <v>332.66666666666674</v>
      </c>
      <c r="T16" s="454">
        <f>G16*L16*K16</f>
        <v>638.64714600000002</v>
      </c>
      <c r="U16" s="455">
        <f>((O16*2)+(P16*2)+Q16)*N16*S16</f>
        <v>55.374030000000026</v>
      </c>
      <c r="V16" s="482">
        <f>T16+U16</f>
        <v>694.02117600000008</v>
      </c>
      <c r="W16" s="468"/>
    </row>
    <row r="17" spans="1:23" s="377" customFormat="1" ht="13.5" thickBot="1" x14ac:dyDescent="0.25">
      <c r="A17" s="384"/>
      <c r="B17" s="483"/>
      <c r="C17" s="484"/>
      <c r="D17" s="485"/>
      <c r="E17" s="485"/>
      <c r="F17" s="486"/>
      <c r="G17" s="487"/>
      <c r="H17" s="486"/>
      <c r="I17" s="488"/>
      <c r="J17" s="489"/>
      <c r="K17" s="490"/>
      <c r="L17" s="491"/>
      <c r="M17" s="492"/>
      <c r="N17" s="490"/>
      <c r="O17" s="493"/>
      <c r="P17" s="493"/>
      <c r="Q17" s="493"/>
      <c r="R17" s="493"/>
      <c r="S17" s="494"/>
      <c r="T17" s="495"/>
      <c r="U17" s="496"/>
      <c r="V17" s="497"/>
      <c r="W17" s="468"/>
    </row>
    <row r="18" spans="1:23" s="377" customFormat="1" ht="14.25" thickTop="1" thickBot="1" x14ac:dyDescent="0.25">
      <c r="A18" s="377" t="s">
        <v>144</v>
      </c>
      <c r="B18" s="407"/>
      <c r="C18" s="408" t="s">
        <v>681</v>
      </c>
      <c r="D18" s="498"/>
      <c r="E18" s="498"/>
      <c r="F18" s="499"/>
      <c r="G18" s="499"/>
      <c r="H18" s="499"/>
      <c r="I18" s="500"/>
      <c r="J18" s="501"/>
      <c r="K18" s="498"/>
      <c r="L18" s="502"/>
      <c r="M18" s="503"/>
      <c r="N18" s="498"/>
      <c r="O18" s="504"/>
      <c r="P18" s="504"/>
      <c r="Q18" s="504"/>
      <c r="R18" s="504"/>
      <c r="S18" s="502"/>
      <c r="T18" s="505"/>
      <c r="U18" s="498"/>
      <c r="V18" s="417"/>
      <c r="W18" s="378"/>
    </row>
    <row r="19" spans="1:23" s="377" customFormat="1" ht="13.5" thickTop="1" x14ac:dyDescent="0.2">
      <c r="A19" s="384"/>
      <c r="B19" s="506"/>
      <c r="C19" s="507"/>
      <c r="D19" s="420"/>
      <c r="E19" s="420"/>
      <c r="F19" s="421"/>
      <c r="G19" s="439"/>
      <c r="H19" s="421"/>
      <c r="I19" s="433"/>
      <c r="J19" s="508"/>
      <c r="K19" s="424"/>
      <c r="L19" s="509"/>
      <c r="M19" s="426"/>
      <c r="N19" s="424"/>
      <c r="O19" s="427"/>
      <c r="P19" s="427"/>
      <c r="Q19" s="427"/>
      <c r="R19" s="427"/>
      <c r="S19" s="428"/>
      <c r="T19" s="429"/>
      <c r="U19" s="430"/>
      <c r="V19" s="434"/>
      <c r="W19" s="378"/>
    </row>
    <row r="20" spans="1:23" s="377" customFormat="1" ht="12.75" x14ac:dyDescent="0.2">
      <c r="A20" s="384"/>
      <c r="B20" s="1489">
        <v>1</v>
      </c>
      <c r="C20" s="437" t="s">
        <v>1017</v>
      </c>
      <c r="D20" s="420">
        <v>0.15</v>
      </c>
      <c r="E20" s="420">
        <v>0.2</v>
      </c>
      <c r="F20" s="421">
        <f>D20*E20</f>
        <v>0.03</v>
      </c>
      <c r="G20" s="420">
        <f>'QUANTYTI OK'!I41</f>
        <v>49.900000000000006</v>
      </c>
      <c r="H20" s="421">
        <v>1</v>
      </c>
      <c r="I20" s="433">
        <f>F20*G20</f>
        <v>1.4970000000000001</v>
      </c>
      <c r="J20" s="423">
        <f>$J$9</f>
        <v>10</v>
      </c>
      <c r="K20" s="424">
        <f>0.006165*J20*J20</f>
        <v>0.61650000000000005</v>
      </c>
      <c r="L20" s="510">
        <f>L16</f>
        <v>20.759999999999998</v>
      </c>
      <c r="M20" s="426">
        <f>$M$9</f>
        <v>6</v>
      </c>
      <c r="N20" s="424">
        <f>0.006165*M20*M20</f>
        <v>0.22194000000000003</v>
      </c>
      <c r="O20" s="427">
        <f>D20-0.05</f>
        <v>9.9999999999999992E-2</v>
      </c>
      <c r="P20" s="427">
        <f>E20-0.05</f>
        <v>0.15000000000000002</v>
      </c>
      <c r="Q20" s="427">
        <f>0.025*2</f>
        <v>0.05</v>
      </c>
      <c r="R20" s="427">
        <v>0.15</v>
      </c>
      <c r="S20" s="428">
        <f>(G20/R20)</f>
        <v>332.66666666666674</v>
      </c>
      <c r="T20" s="429">
        <f>G20*L20*K20</f>
        <v>638.64714600000002</v>
      </c>
      <c r="U20" s="430">
        <f>((O20*2)+(P20*2)+Q20)*N20*S20</f>
        <v>40.607622000000013</v>
      </c>
      <c r="V20" s="434">
        <f>T20+U20</f>
        <v>679.25476800000001</v>
      </c>
      <c r="W20" s="378"/>
    </row>
    <row r="21" spans="1:23" s="377" customFormat="1" ht="12.75" x14ac:dyDescent="0.2">
      <c r="A21" s="384"/>
      <c r="B21" s="1490"/>
      <c r="C21" s="419" t="s">
        <v>1085</v>
      </c>
      <c r="D21" s="420">
        <v>0.15</v>
      </c>
      <c r="E21" s="420">
        <v>0.2</v>
      </c>
      <c r="F21" s="421">
        <f>D21*E21</f>
        <v>0.03</v>
      </c>
      <c r="G21" s="420">
        <v>9.1999999999999993</v>
      </c>
      <c r="H21" s="421">
        <v>1</v>
      </c>
      <c r="I21" s="433">
        <f>F21*G21</f>
        <v>0.27599999999999997</v>
      </c>
      <c r="J21" s="423">
        <f>$J$9</f>
        <v>10</v>
      </c>
      <c r="K21" s="424">
        <f>0.006165*J21*J21</f>
        <v>0.61650000000000005</v>
      </c>
      <c r="L21" s="510">
        <v>4</v>
      </c>
      <c r="M21" s="426">
        <f>$M$9</f>
        <v>6</v>
      </c>
      <c r="N21" s="424">
        <f>0.006165*M21*M21</f>
        <v>0.22194000000000003</v>
      </c>
      <c r="O21" s="427">
        <f>D21-0.05</f>
        <v>9.9999999999999992E-2</v>
      </c>
      <c r="P21" s="427">
        <f>E21-0.05</f>
        <v>0.15000000000000002</v>
      </c>
      <c r="Q21" s="427">
        <f>0.025*2</f>
        <v>0.05</v>
      </c>
      <c r="R21" s="427">
        <v>0.15</v>
      </c>
      <c r="S21" s="428">
        <f>(G21/R21)</f>
        <v>61.333333333333329</v>
      </c>
      <c r="T21" s="429">
        <f>G21*L21*K21</f>
        <v>22.687200000000001</v>
      </c>
      <c r="U21" s="430">
        <f>((O21*2)+(P21*2)+Q21)*N21*S21</f>
        <v>7.4867760000000008</v>
      </c>
      <c r="V21" s="434">
        <f>T21+U21</f>
        <v>30.173976000000003</v>
      </c>
      <c r="W21" s="378"/>
    </row>
    <row r="22" spans="1:23" s="511" customFormat="1" ht="13.5" thickBot="1" x14ac:dyDescent="0.25">
      <c r="A22" s="384"/>
      <c r="B22" s="512"/>
      <c r="C22" s="513"/>
      <c r="D22" s="514"/>
      <c r="E22" s="514"/>
      <c r="F22" s="486"/>
      <c r="G22" s="486"/>
      <c r="H22" s="486"/>
      <c r="I22" s="488"/>
      <c r="J22" s="489"/>
      <c r="K22" s="490"/>
      <c r="L22" s="491"/>
      <c r="M22" s="492"/>
      <c r="N22" s="490"/>
      <c r="O22" s="493"/>
      <c r="P22" s="493"/>
      <c r="Q22" s="493"/>
      <c r="R22" s="493"/>
      <c r="S22" s="494"/>
      <c r="T22" s="495"/>
      <c r="U22" s="496"/>
      <c r="V22" s="497"/>
      <c r="W22" s="378"/>
    </row>
    <row r="23" spans="1:23" s="377" customFormat="1" ht="13.5" thickTop="1" x14ac:dyDescent="0.2">
      <c r="M23" s="515"/>
    </row>
    <row r="25" spans="1:23" ht="15.75" thickBot="1" x14ac:dyDescent="0.3"/>
    <row r="26" spans="1:23" ht="27" thickTop="1" x14ac:dyDescent="0.4">
      <c r="B26" s="1491" t="s">
        <v>682</v>
      </c>
      <c r="C26" s="1492"/>
      <c r="D26" s="1492"/>
      <c r="E26" s="1492"/>
      <c r="F26" s="1492"/>
      <c r="G26" s="1493"/>
      <c r="H26" s="516"/>
      <c r="I26" s="1491" t="s">
        <v>683</v>
      </c>
      <c r="J26" s="1492"/>
      <c r="K26" s="1492"/>
      <c r="L26" s="1492"/>
      <c r="M26" s="1492"/>
      <c r="N26" s="1493"/>
    </row>
    <row r="27" spans="1:23" ht="15.75" thickBot="1" x14ac:dyDescent="0.3">
      <c r="B27" s="517"/>
      <c r="C27" s="518"/>
      <c r="D27" s="518"/>
      <c r="E27" s="518"/>
      <c r="F27" s="518"/>
      <c r="G27" s="519"/>
      <c r="H27" s="520"/>
      <c r="I27" s="521"/>
      <c r="J27" s="522"/>
      <c r="K27" s="522"/>
      <c r="L27" s="522"/>
      <c r="M27" s="523"/>
      <c r="N27" s="524"/>
    </row>
    <row r="28" spans="1:23" ht="15.75" thickTop="1" x14ac:dyDescent="0.25">
      <c r="B28" s="385"/>
      <c r="C28" s="386"/>
      <c r="D28" s="1494" t="s">
        <v>657</v>
      </c>
      <c r="E28" s="1495"/>
      <c r="F28" s="1495"/>
      <c r="G28" s="1496"/>
      <c r="H28" s="520"/>
      <c r="I28" s="1497" t="s">
        <v>684</v>
      </c>
      <c r="J28" s="1498"/>
      <c r="K28" s="1498"/>
      <c r="L28" s="1498"/>
      <c r="M28" s="1501" t="s">
        <v>471</v>
      </c>
      <c r="N28" s="1504" t="s">
        <v>685</v>
      </c>
    </row>
    <row r="29" spans="1:23" x14ac:dyDescent="0.25">
      <c r="B29" s="390" t="s">
        <v>660</v>
      </c>
      <c r="C29" s="391" t="s">
        <v>147</v>
      </c>
      <c r="D29" s="392" t="s">
        <v>661</v>
      </c>
      <c r="E29" s="392" t="s">
        <v>662</v>
      </c>
      <c r="F29" s="393" t="s">
        <v>686</v>
      </c>
      <c r="G29" s="525" t="s">
        <v>664</v>
      </c>
      <c r="H29" s="520"/>
      <c r="I29" s="1499"/>
      <c r="J29" s="1500"/>
      <c r="K29" s="1500"/>
      <c r="L29" s="1500"/>
      <c r="M29" s="1502"/>
      <c r="N29" s="1505"/>
    </row>
    <row r="30" spans="1:23" ht="15.75" thickBot="1" x14ac:dyDescent="0.3">
      <c r="B30" s="396"/>
      <c r="C30" s="397"/>
      <c r="D30" s="398" t="s">
        <v>667</v>
      </c>
      <c r="E30" s="398" t="str">
        <f>D30</f>
        <v>( m )</v>
      </c>
      <c r="F30" s="399" t="s">
        <v>670</v>
      </c>
      <c r="G30" s="526" t="s">
        <v>506</v>
      </c>
      <c r="H30" s="520"/>
      <c r="I30" s="527">
        <v>1</v>
      </c>
      <c r="J30" s="528">
        <v>2</v>
      </c>
      <c r="K30" s="529">
        <v>3</v>
      </c>
      <c r="L30" s="529">
        <v>4</v>
      </c>
      <c r="M30" s="1503"/>
      <c r="N30" s="1506"/>
    </row>
    <row r="31" spans="1:23" ht="16.5" thickTop="1" thickBot="1" x14ac:dyDescent="0.3">
      <c r="B31" s="1484" t="s">
        <v>678</v>
      </c>
      <c r="C31" s="1485"/>
      <c r="D31" s="1485"/>
      <c r="E31" s="1485"/>
      <c r="F31" s="1485"/>
      <c r="G31" s="1486"/>
      <c r="H31" s="520"/>
      <c r="I31" s="1484" t="s">
        <v>678</v>
      </c>
      <c r="J31" s="1485"/>
      <c r="K31" s="1485"/>
      <c r="L31" s="1485"/>
      <c r="M31" s="1485"/>
      <c r="N31" s="1486"/>
    </row>
    <row r="32" spans="1:23" ht="15.75" thickTop="1" x14ac:dyDescent="0.25">
      <c r="B32" s="418"/>
      <c r="C32" s="419"/>
      <c r="D32" s="530"/>
      <c r="E32" s="530"/>
      <c r="F32" s="531"/>
      <c r="G32" s="532"/>
      <c r="H32" s="520"/>
      <c r="I32" s="533"/>
      <c r="J32" s="534"/>
      <c r="K32" s="534"/>
      <c r="L32" s="534"/>
      <c r="M32" s="535"/>
      <c r="N32" s="536"/>
    </row>
    <row r="33" spans="2:14" x14ac:dyDescent="0.25">
      <c r="B33" s="418">
        <v>1</v>
      </c>
      <c r="C33" s="419" t="s">
        <v>1055</v>
      </c>
      <c r="D33" s="420">
        <f t="shared" ref="D33:E36" si="1">D9</f>
        <v>0.25</v>
      </c>
      <c r="E33" s="420">
        <f t="shared" si="1"/>
        <v>0.25</v>
      </c>
      <c r="F33" s="421">
        <f>G9*H9</f>
        <v>26.25</v>
      </c>
      <c r="G33" s="537">
        <f>D33*E33*F33</f>
        <v>1.640625</v>
      </c>
      <c r="H33" s="538"/>
      <c r="I33" s="533">
        <f>D33</f>
        <v>0.25</v>
      </c>
      <c r="J33" s="534">
        <f>I33</f>
        <v>0.25</v>
      </c>
      <c r="K33" s="534">
        <f>E33</f>
        <v>0.25</v>
      </c>
      <c r="L33" s="534">
        <f>E33</f>
        <v>0.25</v>
      </c>
      <c r="M33" s="535">
        <f>(I33+J33+K33+L33)*(G9*H9)</f>
        <v>26.25</v>
      </c>
      <c r="N33" s="539">
        <f>(I33+J33+K33+L33)*M33/2</f>
        <v>13.125</v>
      </c>
    </row>
    <row r="34" spans="2:14" x14ac:dyDescent="0.25">
      <c r="B34" s="418">
        <v>2</v>
      </c>
      <c r="C34" s="419" t="s">
        <v>1059</v>
      </c>
      <c r="D34" s="420">
        <f t="shared" si="1"/>
        <v>0.15</v>
      </c>
      <c r="E34" s="420">
        <f t="shared" si="1"/>
        <v>0.15</v>
      </c>
      <c r="F34" s="421">
        <f>G10*H10</f>
        <v>22.5</v>
      </c>
      <c r="G34" s="537">
        <f>D34*E34*F34</f>
        <v>0.50624999999999998</v>
      </c>
      <c r="H34" s="538"/>
      <c r="I34" s="533">
        <f>D34</f>
        <v>0.15</v>
      </c>
      <c r="J34" s="534">
        <f>I34</f>
        <v>0.15</v>
      </c>
      <c r="K34" s="534">
        <f>E34</f>
        <v>0.15</v>
      </c>
      <c r="L34" s="534">
        <f>E34</f>
        <v>0.15</v>
      </c>
      <c r="M34" s="535">
        <f>(I34+J34+K34+L34)*(G10*H10)</f>
        <v>13.5</v>
      </c>
      <c r="N34" s="539">
        <f>(I34+J34+K34+L34)*M34/2</f>
        <v>4.05</v>
      </c>
    </row>
    <row r="35" spans="2:14" x14ac:dyDescent="0.25">
      <c r="B35" s="418">
        <v>3</v>
      </c>
      <c r="C35" s="447" t="str">
        <f>C11</f>
        <v>Kolom 25X25 cm Kolom pedestal</v>
      </c>
      <c r="D35" s="448">
        <f t="shared" si="1"/>
        <v>0.25</v>
      </c>
      <c r="E35" s="448">
        <f t="shared" si="1"/>
        <v>0.25</v>
      </c>
      <c r="F35" s="421">
        <f>G11*H11</f>
        <v>5.25</v>
      </c>
      <c r="G35" s="537">
        <f>D35*E35*F35</f>
        <v>0.328125</v>
      </c>
      <c r="H35" s="538"/>
      <c r="I35" s="544">
        <f>D35</f>
        <v>0.25</v>
      </c>
      <c r="J35" s="545">
        <f>I35</f>
        <v>0.25</v>
      </c>
      <c r="K35" s="545">
        <f>E35</f>
        <v>0.25</v>
      </c>
      <c r="L35" s="545">
        <f>E35</f>
        <v>0.25</v>
      </c>
      <c r="M35" s="546">
        <f>(I35+J35+K35+L35)*(G11*H11)</f>
        <v>5.25</v>
      </c>
      <c r="N35" s="536">
        <f>(I35+J35+K35+L35)*M35/2</f>
        <v>2.625</v>
      </c>
    </row>
    <row r="36" spans="2:14" x14ac:dyDescent="0.25">
      <c r="B36" s="418">
        <v>4</v>
      </c>
      <c r="C36" s="419" t="str">
        <f>C12</f>
        <v>Pondasi Tapak</v>
      </c>
      <c r="D36" s="420">
        <f t="shared" si="1"/>
        <v>0.8</v>
      </c>
      <c r="E36" s="420">
        <f t="shared" si="1"/>
        <v>0.3</v>
      </c>
      <c r="F36" s="421">
        <f>G12*H12</f>
        <v>5.6000000000000005</v>
      </c>
      <c r="G36" s="537">
        <f>D36*E36*F36</f>
        <v>1.3440000000000001</v>
      </c>
      <c r="H36" s="538"/>
      <c r="I36" s="533">
        <f>D36</f>
        <v>0.8</v>
      </c>
      <c r="J36" s="534">
        <f>I36</f>
        <v>0.8</v>
      </c>
      <c r="K36" s="534">
        <f>E36</f>
        <v>0.3</v>
      </c>
      <c r="L36" s="534">
        <f>E36</f>
        <v>0.3</v>
      </c>
      <c r="M36" s="535">
        <f>(I36+J36+K36+L36)*(G12*H12)</f>
        <v>12.320000000000002</v>
      </c>
      <c r="N36" s="539">
        <f>(I36+J36+K36+L36)*M36/2</f>
        <v>13.552000000000003</v>
      </c>
    </row>
    <row r="37" spans="2:14" ht="15.75" thickBot="1" x14ac:dyDescent="0.3">
      <c r="B37" s="456"/>
      <c r="C37" s="437"/>
      <c r="D37" s="438"/>
      <c r="E37" s="438"/>
      <c r="F37" s="439"/>
      <c r="G37" s="547"/>
      <c r="H37" s="538"/>
      <c r="I37" s="540"/>
      <c r="J37" s="541"/>
      <c r="K37" s="541"/>
      <c r="L37" s="541"/>
      <c r="M37" s="542"/>
      <c r="N37" s="543"/>
    </row>
    <row r="38" spans="2:14" ht="16.5" thickTop="1" thickBot="1" x14ac:dyDescent="0.3">
      <c r="B38" s="1484" t="s">
        <v>679</v>
      </c>
      <c r="C38" s="1487"/>
      <c r="D38" s="1487"/>
      <c r="E38" s="1487"/>
      <c r="F38" s="1487"/>
      <c r="G38" s="1488"/>
      <c r="H38" s="548"/>
      <c r="I38" s="1484" t="s">
        <v>679</v>
      </c>
      <c r="J38" s="1487"/>
      <c r="K38" s="1487"/>
      <c r="L38" s="1487"/>
      <c r="M38" s="1487"/>
      <c r="N38" s="1488"/>
    </row>
    <row r="39" spans="2:14" ht="15.75" thickTop="1" x14ac:dyDescent="0.25">
      <c r="B39" s="549"/>
      <c r="C39" s="550"/>
      <c r="D39" s="450"/>
      <c r="E39" s="450"/>
      <c r="F39" s="551"/>
      <c r="G39" s="552"/>
      <c r="H39" s="548"/>
      <c r="I39" s="553"/>
      <c r="J39" s="554"/>
      <c r="K39" s="554"/>
      <c r="L39" s="554"/>
      <c r="M39" s="555"/>
      <c r="N39" s="556"/>
    </row>
    <row r="40" spans="2:14" x14ac:dyDescent="0.25">
      <c r="B40" s="418">
        <v>1</v>
      </c>
      <c r="C40" s="447" t="str">
        <f>C16</f>
        <v>SLOOF 20X25cm</v>
      </c>
      <c r="D40" s="448">
        <f>D16</f>
        <v>0.2</v>
      </c>
      <c r="E40" s="448">
        <f>E16</f>
        <v>0.25</v>
      </c>
      <c r="F40" s="449">
        <f>G16*H16</f>
        <v>49.900000000000006</v>
      </c>
      <c r="G40" s="481">
        <f>D40*E40*F40</f>
        <v>2.4950000000000006</v>
      </c>
      <c r="H40" s="548"/>
      <c r="I40" s="544">
        <f>E16</f>
        <v>0.25</v>
      </c>
      <c r="J40" s="545">
        <f>I40</f>
        <v>0.25</v>
      </c>
      <c r="K40" s="545"/>
      <c r="L40" s="545"/>
      <c r="M40" s="546">
        <f>G16</f>
        <v>49.900000000000006</v>
      </c>
      <c r="N40" s="557">
        <f>((I40+J40)*M40)/2</f>
        <v>12.475000000000001</v>
      </c>
    </row>
    <row r="41" spans="2:14" ht="15.75" thickBot="1" x14ac:dyDescent="0.3">
      <c r="B41" s="558"/>
      <c r="C41" s="559"/>
      <c r="D41" s="420"/>
      <c r="E41" s="420"/>
      <c r="F41" s="421"/>
      <c r="G41" s="537"/>
      <c r="H41" s="548"/>
      <c r="I41" s="560"/>
      <c r="J41" s="561"/>
      <c r="K41" s="561"/>
      <c r="L41" s="561"/>
      <c r="M41" s="562"/>
      <c r="N41" s="563"/>
    </row>
    <row r="42" spans="2:14" ht="16.5" thickTop="1" thickBot="1" x14ac:dyDescent="0.3">
      <c r="B42" s="1484" t="s">
        <v>681</v>
      </c>
      <c r="C42" s="1485"/>
      <c r="D42" s="1485"/>
      <c r="E42" s="1485"/>
      <c r="F42" s="1485"/>
      <c r="G42" s="1486"/>
      <c r="H42" s="538"/>
      <c r="I42" s="1484" t="s">
        <v>1058</v>
      </c>
      <c r="J42" s="1485"/>
      <c r="K42" s="1485"/>
      <c r="L42" s="1485"/>
      <c r="M42" s="1485"/>
      <c r="N42" s="1486"/>
    </row>
    <row r="43" spans="2:14" ht="15.75" thickTop="1" x14ac:dyDescent="0.25">
      <c r="B43" s="506"/>
      <c r="C43" s="507"/>
      <c r="D43" s="420"/>
      <c r="E43" s="420"/>
      <c r="F43" s="421"/>
      <c r="G43" s="537"/>
      <c r="H43" s="538"/>
      <c r="I43" s="564"/>
      <c r="J43" s="565"/>
      <c r="K43" s="565"/>
      <c r="L43" s="565"/>
      <c r="M43" s="535"/>
      <c r="N43" s="539"/>
    </row>
    <row r="44" spans="2:14" x14ac:dyDescent="0.25">
      <c r="B44" s="436">
        <v>1</v>
      </c>
      <c r="C44" s="437" t="str">
        <f>C20</f>
        <v xml:space="preserve">Ring Balok 15x20 cm </v>
      </c>
      <c r="D44" s="438">
        <f>D20</f>
        <v>0.15</v>
      </c>
      <c r="E44" s="438">
        <f>E20</f>
        <v>0.2</v>
      </c>
      <c r="F44" s="439">
        <f>G20</f>
        <v>49.900000000000006</v>
      </c>
      <c r="G44" s="566">
        <f>D44*E44*F44</f>
        <v>1.4970000000000001</v>
      </c>
      <c r="H44" s="538"/>
      <c r="I44" s="540">
        <f>E44</f>
        <v>0.2</v>
      </c>
      <c r="J44" s="541">
        <f>E44</f>
        <v>0.2</v>
      </c>
      <c r="K44" s="541"/>
      <c r="L44" s="541"/>
      <c r="M44" s="542">
        <f>F44</f>
        <v>49.900000000000006</v>
      </c>
      <c r="N44" s="543">
        <f>((I44+J44+K44+L44)*M44)/2</f>
        <v>9.9800000000000022</v>
      </c>
    </row>
    <row r="45" spans="2:14" x14ac:dyDescent="0.25">
      <c r="B45" s="436">
        <v>2</v>
      </c>
      <c r="C45" s="437" t="s">
        <v>1070</v>
      </c>
      <c r="D45" s="438">
        <f>D21</f>
        <v>0.15</v>
      </c>
      <c r="E45" s="438">
        <f>E21</f>
        <v>0.2</v>
      </c>
      <c r="F45" s="439">
        <v>9.1999999999999993</v>
      </c>
      <c r="G45" s="566">
        <f>D45*E45*F45</f>
        <v>0.27599999999999997</v>
      </c>
      <c r="H45" s="538"/>
      <c r="I45" s="540">
        <f>E45</f>
        <v>0.2</v>
      </c>
      <c r="J45" s="541">
        <f>E45</f>
        <v>0.2</v>
      </c>
      <c r="K45" s="541"/>
      <c r="L45" s="541"/>
      <c r="M45" s="542">
        <f>F45</f>
        <v>9.1999999999999993</v>
      </c>
      <c r="N45" s="543">
        <f>((I45+J45+K45+L45)*M45)/2</f>
        <v>1.8399999999999999</v>
      </c>
    </row>
    <row r="46" spans="2:14" ht="15.75" thickBot="1" x14ac:dyDescent="0.3">
      <c r="B46" s="483"/>
      <c r="C46" s="567"/>
      <c r="D46" s="490"/>
      <c r="E46" s="490"/>
      <c r="F46" s="568"/>
      <c r="G46" s="491"/>
      <c r="H46" s="548"/>
      <c r="I46" s="625"/>
      <c r="J46" s="626"/>
      <c r="K46" s="626"/>
      <c r="L46" s="626"/>
      <c r="M46" s="562"/>
      <c r="N46" s="563"/>
    </row>
    <row r="47" spans="2:14" ht="15.75" thickTop="1" x14ac:dyDescent="0.25"/>
  </sheetData>
  <mergeCells count="18">
    <mergeCell ref="D4:I4"/>
    <mergeCell ref="J4:L4"/>
    <mergeCell ref="M4:S4"/>
    <mergeCell ref="J5:L5"/>
    <mergeCell ref="M5:S5"/>
    <mergeCell ref="B20:B21"/>
    <mergeCell ref="B26:G26"/>
    <mergeCell ref="D28:G28"/>
    <mergeCell ref="I28:L29"/>
    <mergeCell ref="M28:M30"/>
    <mergeCell ref="I26:N26"/>
    <mergeCell ref="N28:N30"/>
    <mergeCell ref="B31:G31"/>
    <mergeCell ref="I31:N31"/>
    <mergeCell ref="B42:G42"/>
    <mergeCell ref="I42:N42"/>
    <mergeCell ref="B38:G38"/>
    <mergeCell ref="I38:N3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47"/>
  <sheetViews>
    <sheetView topLeftCell="A22" workbookViewId="0">
      <selection activeCell="H32" sqref="H32"/>
    </sheetView>
  </sheetViews>
  <sheetFormatPr defaultRowHeight="15" x14ac:dyDescent="0.25"/>
  <cols>
    <col min="4" max="4" width="13.28515625" customWidth="1"/>
    <col min="5" max="5" width="2.140625" customWidth="1"/>
    <col min="6" max="6" width="18.140625" customWidth="1"/>
    <col min="8" max="8" width="14.28515625" bestFit="1" customWidth="1"/>
  </cols>
  <sheetData>
    <row r="3" spans="3:14" x14ac:dyDescent="0.25">
      <c r="E3" s="2"/>
    </row>
    <row r="4" spans="3:14" ht="18.75" customHeight="1" x14ac:dyDescent="0.25">
      <c r="C4" s="287" t="s">
        <v>500</v>
      </c>
      <c r="D4" s="140"/>
      <c r="E4" s="141" t="s">
        <v>127</v>
      </c>
      <c r="F4" s="139" t="s">
        <v>921</v>
      </c>
      <c r="G4" s="286"/>
      <c r="H4" s="286"/>
      <c r="I4" s="286"/>
      <c r="J4" s="286"/>
      <c r="K4" s="286"/>
      <c r="L4" s="286"/>
      <c r="M4" s="286"/>
      <c r="N4" s="286"/>
    </row>
    <row r="5" spans="3:14" ht="15.75" x14ac:dyDescent="0.25">
      <c r="C5" s="287" t="s">
        <v>499</v>
      </c>
      <c r="D5" s="140"/>
      <c r="E5" s="141" t="s">
        <v>127</v>
      </c>
      <c r="F5" s="139" t="s">
        <v>914</v>
      </c>
    </row>
    <row r="6" spans="3:14" ht="15.75" x14ac:dyDescent="0.25">
      <c r="C6" s="287" t="s">
        <v>498</v>
      </c>
      <c r="D6" s="140"/>
      <c r="E6" s="141" t="s">
        <v>127</v>
      </c>
      <c r="F6" s="139" t="s">
        <v>915</v>
      </c>
    </row>
    <row r="7" spans="3:14" ht="15.75" x14ac:dyDescent="0.25">
      <c r="C7" s="287" t="s">
        <v>497</v>
      </c>
      <c r="D7" s="140"/>
      <c r="E7" s="141" t="s">
        <v>127</v>
      </c>
      <c r="F7" s="139" t="s">
        <v>505</v>
      </c>
    </row>
    <row r="8" spans="3:14" ht="15.75" x14ac:dyDescent="0.3">
      <c r="C8" s="287" t="s">
        <v>491</v>
      </c>
      <c r="D8" s="288"/>
      <c r="E8" s="285" t="s">
        <v>127</v>
      </c>
      <c r="F8" s="289" t="s">
        <v>924</v>
      </c>
    </row>
    <row r="9" spans="3:14" ht="15.75" x14ac:dyDescent="0.3">
      <c r="C9" s="287" t="s">
        <v>492</v>
      </c>
      <c r="D9" s="288"/>
      <c r="E9" s="285" t="s">
        <v>127</v>
      </c>
      <c r="F9" s="289" t="s">
        <v>493</v>
      </c>
    </row>
    <row r="10" spans="3:14" ht="15.75" x14ac:dyDescent="0.3">
      <c r="C10" s="287" t="s">
        <v>494</v>
      </c>
      <c r="D10" s="288"/>
      <c r="E10" s="285" t="s">
        <v>127</v>
      </c>
      <c r="F10" s="289" t="s">
        <v>495</v>
      </c>
    </row>
    <row r="11" spans="3:14" ht="15.75" x14ac:dyDescent="0.3">
      <c r="C11" s="287" t="s">
        <v>496</v>
      </c>
      <c r="D11" s="288"/>
      <c r="E11" s="285" t="s">
        <v>127</v>
      </c>
      <c r="F11" s="289" t="s">
        <v>737</v>
      </c>
    </row>
    <row r="12" spans="3:14" x14ac:dyDescent="0.25">
      <c r="C12" s="142"/>
      <c r="D12" s="140"/>
      <c r="E12" s="285"/>
      <c r="F12" s="139"/>
    </row>
    <row r="13" spans="3:14" x14ac:dyDescent="0.25">
      <c r="C13" s="142"/>
      <c r="D13" s="140"/>
      <c r="E13" s="285"/>
      <c r="F13" s="139"/>
    </row>
    <row r="14" spans="3:14" x14ac:dyDescent="0.25">
      <c r="C14" s="142" t="s">
        <v>406</v>
      </c>
      <c r="D14" s="140"/>
      <c r="E14" s="141" t="s">
        <v>127</v>
      </c>
      <c r="F14" s="139" t="s">
        <v>916</v>
      </c>
    </row>
    <row r="15" spans="3:14" x14ac:dyDescent="0.25">
      <c r="C15" s="142"/>
      <c r="D15" s="140"/>
      <c r="E15" s="141"/>
      <c r="F15" s="139"/>
    </row>
    <row r="16" spans="3:14" x14ac:dyDescent="0.25">
      <c r="C16" s="142" t="s">
        <v>125</v>
      </c>
      <c r="D16" s="140"/>
      <c r="E16" s="141" t="s">
        <v>127</v>
      </c>
      <c r="F16" s="187">
        <v>200000000</v>
      </c>
      <c r="H16" s="1"/>
    </row>
    <row r="17" spans="3:11" x14ac:dyDescent="0.25">
      <c r="C17" s="142"/>
      <c r="D17" s="140"/>
      <c r="E17" s="141"/>
      <c r="F17" s="139"/>
    </row>
    <row r="18" spans="3:11" x14ac:dyDescent="0.25">
      <c r="C18" s="142" t="s">
        <v>126</v>
      </c>
      <c r="D18" s="140"/>
      <c r="E18" s="141" t="s">
        <v>127</v>
      </c>
      <c r="F18" s="142">
        <v>2019</v>
      </c>
    </row>
    <row r="19" spans="3:11" x14ac:dyDescent="0.25">
      <c r="C19" s="142"/>
      <c r="D19" s="140"/>
      <c r="E19" s="285"/>
      <c r="F19" s="142"/>
    </row>
    <row r="20" spans="3:11" x14ac:dyDescent="0.25">
      <c r="C20" s="142"/>
      <c r="D20" s="140"/>
      <c r="E20" s="285"/>
      <c r="F20" s="142"/>
    </row>
    <row r="24" spans="3:11" x14ac:dyDescent="0.25">
      <c r="F24" s="137"/>
      <c r="G24" s="138"/>
      <c r="H24" s="137"/>
      <c r="I24" s="188" t="s">
        <v>922</v>
      </c>
      <c r="J24" s="137"/>
      <c r="K24" s="137"/>
    </row>
    <row r="25" spans="3:11" x14ac:dyDescent="0.25">
      <c r="C25" s="137"/>
      <c r="D25" s="137"/>
      <c r="E25" s="137"/>
      <c r="F25" s="137"/>
      <c r="G25" s="138"/>
      <c r="H25" s="137"/>
      <c r="I25" s="178"/>
      <c r="J25" s="137"/>
      <c r="K25" s="137"/>
    </row>
    <row r="26" spans="3:11" x14ac:dyDescent="0.25">
      <c r="C26" t="s">
        <v>634</v>
      </c>
      <c r="E26" s="137"/>
      <c r="F26" s="137"/>
      <c r="G26" s="138"/>
      <c r="H26" s="137"/>
      <c r="I26" s="188" t="s">
        <v>285</v>
      </c>
      <c r="J26" s="137"/>
      <c r="K26" s="137"/>
    </row>
    <row r="27" spans="3:11" x14ac:dyDescent="0.25">
      <c r="C27" s="188"/>
      <c r="D27" s="137"/>
      <c r="E27" s="137"/>
      <c r="F27" s="137"/>
      <c r="G27" s="138"/>
      <c r="H27" s="137"/>
      <c r="I27" s="188" t="s">
        <v>536</v>
      </c>
      <c r="J27" s="137"/>
      <c r="K27" s="137"/>
    </row>
    <row r="28" spans="3:11" x14ac:dyDescent="0.25">
      <c r="C28" s="188" t="s">
        <v>549</v>
      </c>
      <c r="D28" s="137"/>
      <c r="E28" s="137"/>
      <c r="F28" s="137"/>
      <c r="G28" s="138"/>
      <c r="H28" s="137"/>
      <c r="I28" s="188" t="s">
        <v>917</v>
      </c>
      <c r="J28" s="137"/>
      <c r="K28" s="137"/>
    </row>
    <row r="29" spans="3:11" x14ac:dyDescent="0.25">
      <c r="C29" s="188"/>
      <c r="D29" s="137"/>
      <c r="E29" s="137"/>
      <c r="F29" s="137"/>
      <c r="G29" s="138"/>
      <c r="H29" s="137"/>
      <c r="I29" s="188"/>
      <c r="J29" s="137"/>
      <c r="K29" s="137"/>
    </row>
    <row r="30" spans="3:11" x14ac:dyDescent="0.25">
      <c r="C30" s="188"/>
      <c r="D30" s="137"/>
      <c r="E30" s="137"/>
      <c r="F30" s="137"/>
      <c r="G30" s="138"/>
      <c r="H30" s="137"/>
      <c r="I30" s="188"/>
      <c r="J30" s="137"/>
      <c r="K30" s="137"/>
    </row>
    <row r="31" spans="3:11" x14ac:dyDescent="0.25">
      <c r="C31" s="188"/>
      <c r="D31" s="137"/>
      <c r="E31" s="137"/>
      <c r="F31" s="137"/>
      <c r="G31" s="138"/>
      <c r="H31" s="137"/>
      <c r="I31" s="188"/>
      <c r="J31" s="137"/>
      <c r="K31" s="137"/>
    </row>
    <row r="32" spans="3:11" x14ac:dyDescent="0.25">
      <c r="C32" s="189"/>
      <c r="D32" s="137"/>
      <c r="E32" s="137"/>
      <c r="F32" s="137"/>
      <c r="G32" s="138"/>
      <c r="H32" s="137"/>
      <c r="I32" s="188"/>
      <c r="J32" s="137"/>
      <c r="K32" s="137"/>
    </row>
    <row r="33" spans="3:11" x14ac:dyDescent="0.25">
      <c r="C33" s="188"/>
      <c r="D33" s="137"/>
      <c r="E33" s="137"/>
      <c r="F33" s="137"/>
      <c r="G33" s="138"/>
      <c r="H33" s="137"/>
      <c r="I33" s="188"/>
      <c r="J33" s="137"/>
      <c r="K33" s="137"/>
    </row>
    <row r="34" spans="3:11" x14ac:dyDescent="0.25">
      <c r="C34" t="s">
        <v>919</v>
      </c>
      <c r="D34" s="137"/>
      <c r="E34" s="137"/>
      <c r="F34" s="137"/>
      <c r="G34" s="138"/>
      <c r="H34" s="137"/>
      <c r="I34" s="189" t="s">
        <v>918</v>
      </c>
      <c r="J34" s="137"/>
      <c r="K34" s="137"/>
    </row>
    <row r="35" spans="3:11" x14ac:dyDescent="0.25">
      <c r="C35" t="s">
        <v>920</v>
      </c>
      <c r="D35" s="137"/>
      <c r="E35" s="137"/>
      <c r="F35" s="137"/>
      <c r="G35" s="138"/>
      <c r="H35" s="137"/>
      <c r="I35" s="188" t="s">
        <v>637</v>
      </c>
      <c r="J35" s="137"/>
      <c r="K35" s="137"/>
    </row>
    <row r="38" spans="3:11" x14ac:dyDescent="0.25">
      <c r="G38" s="188" t="s">
        <v>286</v>
      </c>
    </row>
    <row r="39" spans="3:11" x14ac:dyDescent="0.25">
      <c r="G39" t="s">
        <v>923</v>
      </c>
    </row>
    <row r="40" spans="3:11" x14ac:dyDescent="0.25">
      <c r="G40" t="s">
        <v>635</v>
      </c>
    </row>
    <row r="41" spans="3:11" x14ac:dyDescent="0.25">
      <c r="G41" t="s">
        <v>636</v>
      </c>
    </row>
    <row r="46" spans="3:11" x14ac:dyDescent="0.25">
      <c r="G46" s="360" t="s">
        <v>548</v>
      </c>
    </row>
    <row r="47" spans="3:11" x14ac:dyDescent="0.25">
      <c r="G47" s="363" t="s">
        <v>638</v>
      </c>
    </row>
  </sheetData>
  <pageMargins left="0.7" right="0.7" top="0.75" bottom="0.75" header="0.3" footer="0.3"/>
  <pageSetup paperSize="9" orientation="portrait" horizontalDpi="4294967292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3720"/>
  <sheetViews>
    <sheetView view="pageBreakPreview" topLeftCell="A33" zoomScaleNormal="100" zoomScaleSheetLayoutView="100" workbookViewId="0">
      <selection activeCell="D9" sqref="D9"/>
    </sheetView>
  </sheetViews>
  <sheetFormatPr defaultRowHeight="14.25" x14ac:dyDescent="0.2"/>
  <cols>
    <col min="1" max="1" width="7.140625" style="1225" customWidth="1"/>
    <col min="2" max="2" width="40.42578125" style="1226" customWidth="1"/>
    <col min="3" max="3" width="19.85546875" style="1164" customWidth="1"/>
    <col min="4" max="4" width="24.42578125" style="1227" customWidth="1"/>
    <col min="5" max="5" width="9.140625" style="1164"/>
    <col min="6" max="6" width="21.28515625" style="1164" customWidth="1"/>
    <col min="7" max="7" width="9.140625" style="1164"/>
    <col min="8" max="8" width="13.7109375" style="1164" bestFit="1" customWidth="1"/>
    <col min="9" max="256" width="9.140625" style="1164"/>
    <col min="257" max="257" width="7.140625" style="1164" customWidth="1"/>
    <col min="258" max="258" width="40.42578125" style="1164" customWidth="1"/>
    <col min="259" max="259" width="19.85546875" style="1164" customWidth="1"/>
    <col min="260" max="260" width="24.42578125" style="1164" customWidth="1"/>
    <col min="261" max="261" width="9.140625" style="1164"/>
    <col min="262" max="262" width="21.28515625" style="1164" customWidth="1"/>
    <col min="263" max="263" width="9.140625" style="1164"/>
    <col min="264" max="264" width="13.7109375" style="1164" bestFit="1" customWidth="1"/>
    <col min="265" max="512" width="9.140625" style="1164"/>
    <col min="513" max="513" width="7.140625" style="1164" customWidth="1"/>
    <col min="514" max="514" width="40.42578125" style="1164" customWidth="1"/>
    <col min="515" max="515" width="19.85546875" style="1164" customWidth="1"/>
    <col min="516" max="516" width="24.42578125" style="1164" customWidth="1"/>
    <col min="517" max="517" width="9.140625" style="1164"/>
    <col min="518" max="518" width="21.28515625" style="1164" customWidth="1"/>
    <col min="519" max="519" width="9.140625" style="1164"/>
    <col min="520" max="520" width="13.7109375" style="1164" bestFit="1" customWidth="1"/>
    <col min="521" max="768" width="9.140625" style="1164"/>
    <col min="769" max="769" width="7.140625" style="1164" customWidth="1"/>
    <col min="770" max="770" width="40.42578125" style="1164" customWidth="1"/>
    <col min="771" max="771" width="19.85546875" style="1164" customWidth="1"/>
    <col min="772" max="772" width="24.42578125" style="1164" customWidth="1"/>
    <col min="773" max="773" width="9.140625" style="1164"/>
    <col min="774" max="774" width="21.28515625" style="1164" customWidth="1"/>
    <col min="775" max="775" width="9.140625" style="1164"/>
    <col min="776" max="776" width="13.7109375" style="1164" bestFit="1" customWidth="1"/>
    <col min="777" max="1024" width="9.140625" style="1164"/>
    <col min="1025" max="1025" width="7.140625" style="1164" customWidth="1"/>
    <col min="1026" max="1026" width="40.42578125" style="1164" customWidth="1"/>
    <col min="1027" max="1027" width="19.85546875" style="1164" customWidth="1"/>
    <col min="1028" max="1028" width="24.42578125" style="1164" customWidth="1"/>
    <col min="1029" max="1029" width="9.140625" style="1164"/>
    <col min="1030" max="1030" width="21.28515625" style="1164" customWidth="1"/>
    <col min="1031" max="1031" width="9.140625" style="1164"/>
    <col min="1032" max="1032" width="13.7109375" style="1164" bestFit="1" customWidth="1"/>
    <col min="1033" max="1280" width="9.140625" style="1164"/>
    <col min="1281" max="1281" width="7.140625" style="1164" customWidth="1"/>
    <col min="1282" max="1282" width="40.42578125" style="1164" customWidth="1"/>
    <col min="1283" max="1283" width="19.85546875" style="1164" customWidth="1"/>
    <col min="1284" max="1284" width="24.42578125" style="1164" customWidth="1"/>
    <col min="1285" max="1285" width="9.140625" style="1164"/>
    <col min="1286" max="1286" width="21.28515625" style="1164" customWidth="1"/>
    <col min="1287" max="1287" width="9.140625" style="1164"/>
    <col min="1288" max="1288" width="13.7109375" style="1164" bestFit="1" customWidth="1"/>
    <col min="1289" max="1536" width="9.140625" style="1164"/>
    <col min="1537" max="1537" width="7.140625" style="1164" customWidth="1"/>
    <col min="1538" max="1538" width="40.42578125" style="1164" customWidth="1"/>
    <col min="1539" max="1539" width="19.85546875" style="1164" customWidth="1"/>
    <col min="1540" max="1540" width="24.42578125" style="1164" customWidth="1"/>
    <col min="1541" max="1541" width="9.140625" style="1164"/>
    <col min="1542" max="1542" width="21.28515625" style="1164" customWidth="1"/>
    <col min="1543" max="1543" width="9.140625" style="1164"/>
    <col min="1544" max="1544" width="13.7109375" style="1164" bestFit="1" customWidth="1"/>
    <col min="1545" max="1792" width="9.140625" style="1164"/>
    <col min="1793" max="1793" width="7.140625" style="1164" customWidth="1"/>
    <col min="1794" max="1794" width="40.42578125" style="1164" customWidth="1"/>
    <col min="1795" max="1795" width="19.85546875" style="1164" customWidth="1"/>
    <col min="1796" max="1796" width="24.42578125" style="1164" customWidth="1"/>
    <col min="1797" max="1797" width="9.140625" style="1164"/>
    <col min="1798" max="1798" width="21.28515625" style="1164" customWidth="1"/>
    <col min="1799" max="1799" width="9.140625" style="1164"/>
    <col min="1800" max="1800" width="13.7109375" style="1164" bestFit="1" customWidth="1"/>
    <col min="1801" max="2048" width="9.140625" style="1164"/>
    <col min="2049" max="2049" width="7.140625" style="1164" customWidth="1"/>
    <col min="2050" max="2050" width="40.42578125" style="1164" customWidth="1"/>
    <col min="2051" max="2051" width="19.85546875" style="1164" customWidth="1"/>
    <col min="2052" max="2052" width="24.42578125" style="1164" customWidth="1"/>
    <col min="2053" max="2053" width="9.140625" style="1164"/>
    <col min="2054" max="2054" width="21.28515625" style="1164" customWidth="1"/>
    <col min="2055" max="2055" width="9.140625" style="1164"/>
    <col min="2056" max="2056" width="13.7109375" style="1164" bestFit="1" customWidth="1"/>
    <col min="2057" max="2304" width="9.140625" style="1164"/>
    <col min="2305" max="2305" width="7.140625" style="1164" customWidth="1"/>
    <col min="2306" max="2306" width="40.42578125" style="1164" customWidth="1"/>
    <col min="2307" max="2307" width="19.85546875" style="1164" customWidth="1"/>
    <col min="2308" max="2308" width="24.42578125" style="1164" customWidth="1"/>
    <col min="2309" max="2309" width="9.140625" style="1164"/>
    <col min="2310" max="2310" width="21.28515625" style="1164" customWidth="1"/>
    <col min="2311" max="2311" width="9.140625" style="1164"/>
    <col min="2312" max="2312" width="13.7109375" style="1164" bestFit="1" customWidth="1"/>
    <col min="2313" max="2560" width="9.140625" style="1164"/>
    <col min="2561" max="2561" width="7.140625" style="1164" customWidth="1"/>
    <col min="2562" max="2562" width="40.42578125" style="1164" customWidth="1"/>
    <col min="2563" max="2563" width="19.85546875" style="1164" customWidth="1"/>
    <col min="2564" max="2564" width="24.42578125" style="1164" customWidth="1"/>
    <col min="2565" max="2565" width="9.140625" style="1164"/>
    <col min="2566" max="2566" width="21.28515625" style="1164" customWidth="1"/>
    <col min="2567" max="2567" width="9.140625" style="1164"/>
    <col min="2568" max="2568" width="13.7109375" style="1164" bestFit="1" customWidth="1"/>
    <col min="2569" max="2816" width="9.140625" style="1164"/>
    <col min="2817" max="2817" width="7.140625" style="1164" customWidth="1"/>
    <col min="2818" max="2818" width="40.42578125" style="1164" customWidth="1"/>
    <col min="2819" max="2819" width="19.85546875" style="1164" customWidth="1"/>
    <col min="2820" max="2820" width="24.42578125" style="1164" customWidth="1"/>
    <col min="2821" max="2821" width="9.140625" style="1164"/>
    <col min="2822" max="2822" width="21.28515625" style="1164" customWidth="1"/>
    <col min="2823" max="2823" width="9.140625" style="1164"/>
    <col min="2824" max="2824" width="13.7109375" style="1164" bestFit="1" customWidth="1"/>
    <col min="2825" max="3072" width="9.140625" style="1164"/>
    <col min="3073" max="3073" width="7.140625" style="1164" customWidth="1"/>
    <col min="3074" max="3074" width="40.42578125" style="1164" customWidth="1"/>
    <col min="3075" max="3075" width="19.85546875" style="1164" customWidth="1"/>
    <col min="3076" max="3076" width="24.42578125" style="1164" customWidth="1"/>
    <col min="3077" max="3077" width="9.140625" style="1164"/>
    <col min="3078" max="3078" width="21.28515625" style="1164" customWidth="1"/>
    <col min="3079" max="3079" width="9.140625" style="1164"/>
    <col min="3080" max="3080" width="13.7109375" style="1164" bestFit="1" customWidth="1"/>
    <col min="3081" max="3328" width="9.140625" style="1164"/>
    <col min="3329" max="3329" width="7.140625" style="1164" customWidth="1"/>
    <col min="3330" max="3330" width="40.42578125" style="1164" customWidth="1"/>
    <col min="3331" max="3331" width="19.85546875" style="1164" customWidth="1"/>
    <col min="3332" max="3332" width="24.42578125" style="1164" customWidth="1"/>
    <col min="3333" max="3333" width="9.140625" style="1164"/>
    <col min="3334" max="3334" width="21.28515625" style="1164" customWidth="1"/>
    <col min="3335" max="3335" width="9.140625" style="1164"/>
    <col min="3336" max="3336" width="13.7109375" style="1164" bestFit="1" customWidth="1"/>
    <col min="3337" max="3584" width="9.140625" style="1164"/>
    <col min="3585" max="3585" width="7.140625" style="1164" customWidth="1"/>
    <col min="3586" max="3586" width="40.42578125" style="1164" customWidth="1"/>
    <col min="3587" max="3587" width="19.85546875" style="1164" customWidth="1"/>
    <col min="3588" max="3588" width="24.42578125" style="1164" customWidth="1"/>
    <col min="3589" max="3589" width="9.140625" style="1164"/>
    <col min="3590" max="3590" width="21.28515625" style="1164" customWidth="1"/>
    <col min="3591" max="3591" width="9.140625" style="1164"/>
    <col min="3592" max="3592" width="13.7109375" style="1164" bestFit="1" customWidth="1"/>
    <col min="3593" max="3840" width="9.140625" style="1164"/>
    <col min="3841" max="3841" width="7.140625" style="1164" customWidth="1"/>
    <col min="3842" max="3842" width="40.42578125" style="1164" customWidth="1"/>
    <col min="3843" max="3843" width="19.85546875" style="1164" customWidth="1"/>
    <col min="3844" max="3844" width="24.42578125" style="1164" customWidth="1"/>
    <col min="3845" max="3845" width="9.140625" style="1164"/>
    <col min="3846" max="3846" width="21.28515625" style="1164" customWidth="1"/>
    <col min="3847" max="3847" width="9.140625" style="1164"/>
    <col min="3848" max="3848" width="13.7109375" style="1164" bestFit="1" customWidth="1"/>
    <col min="3849" max="4096" width="9.140625" style="1164"/>
    <col min="4097" max="4097" width="7.140625" style="1164" customWidth="1"/>
    <col min="4098" max="4098" width="40.42578125" style="1164" customWidth="1"/>
    <col min="4099" max="4099" width="19.85546875" style="1164" customWidth="1"/>
    <col min="4100" max="4100" width="24.42578125" style="1164" customWidth="1"/>
    <col min="4101" max="4101" width="9.140625" style="1164"/>
    <col min="4102" max="4102" width="21.28515625" style="1164" customWidth="1"/>
    <col min="4103" max="4103" width="9.140625" style="1164"/>
    <col min="4104" max="4104" width="13.7109375" style="1164" bestFit="1" customWidth="1"/>
    <col min="4105" max="4352" width="9.140625" style="1164"/>
    <col min="4353" max="4353" width="7.140625" style="1164" customWidth="1"/>
    <col min="4354" max="4354" width="40.42578125" style="1164" customWidth="1"/>
    <col min="4355" max="4355" width="19.85546875" style="1164" customWidth="1"/>
    <col min="4356" max="4356" width="24.42578125" style="1164" customWidth="1"/>
    <col min="4357" max="4357" width="9.140625" style="1164"/>
    <col min="4358" max="4358" width="21.28515625" style="1164" customWidth="1"/>
    <col min="4359" max="4359" width="9.140625" style="1164"/>
    <col min="4360" max="4360" width="13.7109375" style="1164" bestFit="1" customWidth="1"/>
    <col min="4361" max="4608" width="9.140625" style="1164"/>
    <col min="4609" max="4609" width="7.140625" style="1164" customWidth="1"/>
    <col min="4610" max="4610" width="40.42578125" style="1164" customWidth="1"/>
    <col min="4611" max="4611" width="19.85546875" style="1164" customWidth="1"/>
    <col min="4612" max="4612" width="24.42578125" style="1164" customWidth="1"/>
    <col min="4613" max="4613" width="9.140625" style="1164"/>
    <col min="4614" max="4614" width="21.28515625" style="1164" customWidth="1"/>
    <col min="4615" max="4615" width="9.140625" style="1164"/>
    <col min="4616" max="4616" width="13.7109375" style="1164" bestFit="1" customWidth="1"/>
    <col min="4617" max="4864" width="9.140625" style="1164"/>
    <col min="4865" max="4865" width="7.140625" style="1164" customWidth="1"/>
    <col min="4866" max="4866" width="40.42578125" style="1164" customWidth="1"/>
    <col min="4867" max="4867" width="19.85546875" style="1164" customWidth="1"/>
    <col min="4868" max="4868" width="24.42578125" style="1164" customWidth="1"/>
    <col min="4869" max="4869" width="9.140625" style="1164"/>
    <col min="4870" max="4870" width="21.28515625" style="1164" customWidth="1"/>
    <col min="4871" max="4871" width="9.140625" style="1164"/>
    <col min="4872" max="4872" width="13.7109375" style="1164" bestFit="1" customWidth="1"/>
    <col min="4873" max="5120" width="9.140625" style="1164"/>
    <col min="5121" max="5121" width="7.140625" style="1164" customWidth="1"/>
    <col min="5122" max="5122" width="40.42578125" style="1164" customWidth="1"/>
    <col min="5123" max="5123" width="19.85546875" style="1164" customWidth="1"/>
    <col min="5124" max="5124" width="24.42578125" style="1164" customWidth="1"/>
    <col min="5125" max="5125" width="9.140625" style="1164"/>
    <col min="5126" max="5126" width="21.28515625" style="1164" customWidth="1"/>
    <col min="5127" max="5127" width="9.140625" style="1164"/>
    <col min="5128" max="5128" width="13.7109375" style="1164" bestFit="1" customWidth="1"/>
    <col min="5129" max="5376" width="9.140625" style="1164"/>
    <col min="5377" max="5377" width="7.140625" style="1164" customWidth="1"/>
    <col min="5378" max="5378" width="40.42578125" style="1164" customWidth="1"/>
    <col min="5379" max="5379" width="19.85546875" style="1164" customWidth="1"/>
    <col min="5380" max="5380" width="24.42578125" style="1164" customWidth="1"/>
    <col min="5381" max="5381" width="9.140625" style="1164"/>
    <col min="5382" max="5382" width="21.28515625" style="1164" customWidth="1"/>
    <col min="5383" max="5383" width="9.140625" style="1164"/>
    <col min="5384" max="5384" width="13.7109375" style="1164" bestFit="1" customWidth="1"/>
    <col min="5385" max="5632" width="9.140625" style="1164"/>
    <col min="5633" max="5633" width="7.140625" style="1164" customWidth="1"/>
    <col min="5634" max="5634" width="40.42578125" style="1164" customWidth="1"/>
    <col min="5635" max="5635" width="19.85546875" style="1164" customWidth="1"/>
    <col min="5636" max="5636" width="24.42578125" style="1164" customWidth="1"/>
    <col min="5637" max="5637" width="9.140625" style="1164"/>
    <col min="5638" max="5638" width="21.28515625" style="1164" customWidth="1"/>
    <col min="5639" max="5639" width="9.140625" style="1164"/>
    <col min="5640" max="5640" width="13.7109375" style="1164" bestFit="1" customWidth="1"/>
    <col min="5641" max="5888" width="9.140625" style="1164"/>
    <col min="5889" max="5889" width="7.140625" style="1164" customWidth="1"/>
    <col min="5890" max="5890" width="40.42578125" style="1164" customWidth="1"/>
    <col min="5891" max="5891" width="19.85546875" style="1164" customWidth="1"/>
    <col min="5892" max="5892" width="24.42578125" style="1164" customWidth="1"/>
    <col min="5893" max="5893" width="9.140625" style="1164"/>
    <col min="5894" max="5894" width="21.28515625" style="1164" customWidth="1"/>
    <col min="5895" max="5895" width="9.140625" style="1164"/>
    <col min="5896" max="5896" width="13.7109375" style="1164" bestFit="1" customWidth="1"/>
    <col min="5897" max="6144" width="9.140625" style="1164"/>
    <col min="6145" max="6145" width="7.140625" style="1164" customWidth="1"/>
    <col min="6146" max="6146" width="40.42578125" style="1164" customWidth="1"/>
    <col min="6147" max="6147" width="19.85546875" style="1164" customWidth="1"/>
    <col min="6148" max="6148" width="24.42578125" style="1164" customWidth="1"/>
    <col min="6149" max="6149" width="9.140625" style="1164"/>
    <col min="6150" max="6150" width="21.28515625" style="1164" customWidth="1"/>
    <col min="6151" max="6151" width="9.140625" style="1164"/>
    <col min="6152" max="6152" width="13.7109375" style="1164" bestFit="1" customWidth="1"/>
    <col min="6153" max="6400" width="9.140625" style="1164"/>
    <col min="6401" max="6401" width="7.140625" style="1164" customWidth="1"/>
    <col min="6402" max="6402" width="40.42578125" style="1164" customWidth="1"/>
    <col min="6403" max="6403" width="19.85546875" style="1164" customWidth="1"/>
    <col min="6404" max="6404" width="24.42578125" style="1164" customWidth="1"/>
    <col min="6405" max="6405" width="9.140625" style="1164"/>
    <col min="6406" max="6406" width="21.28515625" style="1164" customWidth="1"/>
    <col min="6407" max="6407" width="9.140625" style="1164"/>
    <col min="6408" max="6408" width="13.7109375" style="1164" bestFit="1" customWidth="1"/>
    <col min="6409" max="6656" width="9.140625" style="1164"/>
    <col min="6657" max="6657" width="7.140625" style="1164" customWidth="1"/>
    <col min="6658" max="6658" width="40.42578125" style="1164" customWidth="1"/>
    <col min="6659" max="6659" width="19.85546875" style="1164" customWidth="1"/>
    <col min="6660" max="6660" width="24.42578125" style="1164" customWidth="1"/>
    <col min="6661" max="6661" width="9.140625" style="1164"/>
    <col min="6662" max="6662" width="21.28515625" style="1164" customWidth="1"/>
    <col min="6663" max="6663" width="9.140625" style="1164"/>
    <col min="6664" max="6664" width="13.7109375" style="1164" bestFit="1" customWidth="1"/>
    <col min="6665" max="6912" width="9.140625" style="1164"/>
    <col min="6913" max="6913" width="7.140625" style="1164" customWidth="1"/>
    <col min="6914" max="6914" width="40.42578125" style="1164" customWidth="1"/>
    <col min="6915" max="6915" width="19.85546875" style="1164" customWidth="1"/>
    <col min="6916" max="6916" width="24.42578125" style="1164" customWidth="1"/>
    <col min="6917" max="6917" width="9.140625" style="1164"/>
    <col min="6918" max="6918" width="21.28515625" style="1164" customWidth="1"/>
    <col min="6919" max="6919" width="9.140625" style="1164"/>
    <col min="6920" max="6920" width="13.7109375" style="1164" bestFit="1" customWidth="1"/>
    <col min="6921" max="7168" width="9.140625" style="1164"/>
    <col min="7169" max="7169" width="7.140625" style="1164" customWidth="1"/>
    <col min="7170" max="7170" width="40.42578125" style="1164" customWidth="1"/>
    <col min="7171" max="7171" width="19.85546875" style="1164" customWidth="1"/>
    <col min="7172" max="7172" width="24.42578125" style="1164" customWidth="1"/>
    <col min="7173" max="7173" width="9.140625" style="1164"/>
    <col min="7174" max="7174" width="21.28515625" style="1164" customWidth="1"/>
    <col min="7175" max="7175" width="9.140625" style="1164"/>
    <col min="7176" max="7176" width="13.7109375" style="1164" bestFit="1" customWidth="1"/>
    <col min="7177" max="7424" width="9.140625" style="1164"/>
    <col min="7425" max="7425" width="7.140625" style="1164" customWidth="1"/>
    <col min="7426" max="7426" width="40.42578125" style="1164" customWidth="1"/>
    <col min="7427" max="7427" width="19.85546875" style="1164" customWidth="1"/>
    <col min="7428" max="7428" width="24.42578125" style="1164" customWidth="1"/>
    <col min="7429" max="7429" width="9.140625" style="1164"/>
    <col min="7430" max="7430" width="21.28515625" style="1164" customWidth="1"/>
    <col min="7431" max="7431" width="9.140625" style="1164"/>
    <col min="7432" max="7432" width="13.7109375" style="1164" bestFit="1" customWidth="1"/>
    <col min="7433" max="7680" width="9.140625" style="1164"/>
    <col min="7681" max="7681" width="7.140625" style="1164" customWidth="1"/>
    <col min="7682" max="7682" width="40.42578125" style="1164" customWidth="1"/>
    <col min="7683" max="7683" width="19.85546875" style="1164" customWidth="1"/>
    <col min="7684" max="7684" width="24.42578125" style="1164" customWidth="1"/>
    <col min="7685" max="7685" width="9.140625" style="1164"/>
    <col min="7686" max="7686" width="21.28515625" style="1164" customWidth="1"/>
    <col min="7687" max="7687" width="9.140625" style="1164"/>
    <col min="7688" max="7688" width="13.7109375" style="1164" bestFit="1" customWidth="1"/>
    <col min="7689" max="7936" width="9.140625" style="1164"/>
    <col min="7937" max="7937" width="7.140625" style="1164" customWidth="1"/>
    <col min="7938" max="7938" width="40.42578125" style="1164" customWidth="1"/>
    <col min="7939" max="7939" width="19.85546875" style="1164" customWidth="1"/>
    <col min="7940" max="7940" width="24.42578125" style="1164" customWidth="1"/>
    <col min="7941" max="7941" width="9.140625" style="1164"/>
    <col min="7942" max="7942" width="21.28515625" style="1164" customWidth="1"/>
    <col min="7943" max="7943" width="9.140625" style="1164"/>
    <col min="7944" max="7944" width="13.7109375" style="1164" bestFit="1" customWidth="1"/>
    <col min="7945" max="8192" width="9.140625" style="1164"/>
    <col min="8193" max="8193" width="7.140625" style="1164" customWidth="1"/>
    <col min="8194" max="8194" width="40.42578125" style="1164" customWidth="1"/>
    <col min="8195" max="8195" width="19.85546875" style="1164" customWidth="1"/>
    <col min="8196" max="8196" width="24.42578125" style="1164" customWidth="1"/>
    <col min="8197" max="8197" width="9.140625" style="1164"/>
    <col min="8198" max="8198" width="21.28515625" style="1164" customWidth="1"/>
    <col min="8199" max="8199" width="9.140625" style="1164"/>
    <col min="8200" max="8200" width="13.7109375" style="1164" bestFit="1" customWidth="1"/>
    <col min="8201" max="8448" width="9.140625" style="1164"/>
    <col min="8449" max="8449" width="7.140625" style="1164" customWidth="1"/>
    <col min="8450" max="8450" width="40.42578125" style="1164" customWidth="1"/>
    <col min="8451" max="8451" width="19.85546875" style="1164" customWidth="1"/>
    <col min="8452" max="8452" width="24.42578125" style="1164" customWidth="1"/>
    <col min="8453" max="8453" width="9.140625" style="1164"/>
    <col min="8454" max="8454" width="21.28515625" style="1164" customWidth="1"/>
    <col min="8455" max="8455" width="9.140625" style="1164"/>
    <col min="8456" max="8456" width="13.7109375" style="1164" bestFit="1" customWidth="1"/>
    <col min="8457" max="8704" width="9.140625" style="1164"/>
    <col min="8705" max="8705" width="7.140625" style="1164" customWidth="1"/>
    <col min="8706" max="8706" width="40.42578125" style="1164" customWidth="1"/>
    <col min="8707" max="8707" width="19.85546875" style="1164" customWidth="1"/>
    <col min="8708" max="8708" width="24.42578125" style="1164" customWidth="1"/>
    <col min="8709" max="8709" width="9.140625" style="1164"/>
    <col min="8710" max="8710" width="21.28515625" style="1164" customWidth="1"/>
    <col min="8711" max="8711" width="9.140625" style="1164"/>
    <col min="8712" max="8712" width="13.7109375" style="1164" bestFit="1" customWidth="1"/>
    <col min="8713" max="8960" width="9.140625" style="1164"/>
    <col min="8961" max="8961" width="7.140625" style="1164" customWidth="1"/>
    <col min="8962" max="8962" width="40.42578125" style="1164" customWidth="1"/>
    <col min="8963" max="8963" width="19.85546875" style="1164" customWidth="1"/>
    <col min="8964" max="8964" width="24.42578125" style="1164" customWidth="1"/>
    <col min="8965" max="8965" width="9.140625" style="1164"/>
    <col min="8966" max="8966" width="21.28515625" style="1164" customWidth="1"/>
    <col min="8967" max="8967" width="9.140625" style="1164"/>
    <col min="8968" max="8968" width="13.7109375" style="1164" bestFit="1" customWidth="1"/>
    <col min="8969" max="9216" width="9.140625" style="1164"/>
    <col min="9217" max="9217" width="7.140625" style="1164" customWidth="1"/>
    <col min="9218" max="9218" width="40.42578125" style="1164" customWidth="1"/>
    <col min="9219" max="9219" width="19.85546875" style="1164" customWidth="1"/>
    <col min="9220" max="9220" width="24.42578125" style="1164" customWidth="1"/>
    <col min="9221" max="9221" width="9.140625" style="1164"/>
    <col min="9222" max="9222" width="21.28515625" style="1164" customWidth="1"/>
    <col min="9223" max="9223" width="9.140625" style="1164"/>
    <col min="9224" max="9224" width="13.7109375" style="1164" bestFit="1" customWidth="1"/>
    <col min="9225" max="9472" width="9.140625" style="1164"/>
    <col min="9473" max="9473" width="7.140625" style="1164" customWidth="1"/>
    <col min="9474" max="9474" width="40.42578125" style="1164" customWidth="1"/>
    <col min="9475" max="9475" width="19.85546875" style="1164" customWidth="1"/>
    <col min="9476" max="9476" width="24.42578125" style="1164" customWidth="1"/>
    <col min="9477" max="9477" width="9.140625" style="1164"/>
    <col min="9478" max="9478" width="21.28515625" style="1164" customWidth="1"/>
    <col min="9479" max="9479" width="9.140625" style="1164"/>
    <col min="9480" max="9480" width="13.7109375" style="1164" bestFit="1" customWidth="1"/>
    <col min="9481" max="9728" width="9.140625" style="1164"/>
    <col min="9729" max="9729" width="7.140625" style="1164" customWidth="1"/>
    <col min="9730" max="9730" width="40.42578125" style="1164" customWidth="1"/>
    <col min="9731" max="9731" width="19.85546875" style="1164" customWidth="1"/>
    <col min="9732" max="9732" width="24.42578125" style="1164" customWidth="1"/>
    <col min="9733" max="9733" width="9.140625" style="1164"/>
    <col min="9734" max="9734" width="21.28515625" style="1164" customWidth="1"/>
    <col min="9735" max="9735" width="9.140625" style="1164"/>
    <col min="9736" max="9736" width="13.7109375" style="1164" bestFit="1" customWidth="1"/>
    <col min="9737" max="9984" width="9.140625" style="1164"/>
    <col min="9985" max="9985" width="7.140625" style="1164" customWidth="1"/>
    <col min="9986" max="9986" width="40.42578125" style="1164" customWidth="1"/>
    <col min="9987" max="9987" width="19.85546875" style="1164" customWidth="1"/>
    <col min="9988" max="9988" width="24.42578125" style="1164" customWidth="1"/>
    <col min="9989" max="9989" width="9.140625" style="1164"/>
    <col min="9990" max="9990" width="21.28515625" style="1164" customWidth="1"/>
    <col min="9991" max="9991" width="9.140625" style="1164"/>
    <col min="9992" max="9992" width="13.7109375" style="1164" bestFit="1" customWidth="1"/>
    <col min="9993" max="10240" width="9.140625" style="1164"/>
    <col min="10241" max="10241" width="7.140625" style="1164" customWidth="1"/>
    <col min="10242" max="10242" width="40.42578125" style="1164" customWidth="1"/>
    <col min="10243" max="10243" width="19.85546875" style="1164" customWidth="1"/>
    <col min="10244" max="10244" width="24.42578125" style="1164" customWidth="1"/>
    <col min="10245" max="10245" width="9.140625" style="1164"/>
    <col min="10246" max="10246" width="21.28515625" style="1164" customWidth="1"/>
    <col min="10247" max="10247" width="9.140625" style="1164"/>
    <col min="10248" max="10248" width="13.7109375" style="1164" bestFit="1" customWidth="1"/>
    <col min="10249" max="10496" width="9.140625" style="1164"/>
    <col min="10497" max="10497" width="7.140625" style="1164" customWidth="1"/>
    <col min="10498" max="10498" width="40.42578125" style="1164" customWidth="1"/>
    <col min="10499" max="10499" width="19.85546875" style="1164" customWidth="1"/>
    <col min="10500" max="10500" width="24.42578125" style="1164" customWidth="1"/>
    <col min="10501" max="10501" width="9.140625" style="1164"/>
    <col min="10502" max="10502" width="21.28515625" style="1164" customWidth="1"/>
    <col min="10503" max="10503" width="9.140625" style="1164"/>
    <col min="10504" max="10504" width="13.7109375" style="1164" bestFit="1" customWidth="1"/>
    <col min="10505" max="10752" width="9.140625" style="1164"/>
    <col min="10753" max="10753" width="7.140625" style="1164" customWidth="1"/>
    <col min="10754" max="10754" width="40.42578125" style="1164" customWidth="1"/>
    <col min="10755" max="10755" width="19.85546875" style="1164" customWidth="1"/>
    <col min="10756" max="10756" width="24.42578125" style="1164" customWidth="1"/>
    <col min="10757" max="10757" width="9.140625" style="1164"/>
    <col min="10758" max="10758" width="21.28515625" style="1164" customWidth="1"/>
    <col min="10759" max="10759" width="9.140625" style="1164"/>
    <col min="10760" max="10760" width="13.7109375" style="1164" bestFit="1" customWidth="1"/>
    <col min="10761" max="11008" width="9.140625" style="1164"/>
    <col min="11009" max="11009" width="7.140625" style="1164" customWidth="1"/>
    <col min="11010" max="11010" width="40.42578125" style="1164" customWidth="1"/>
    <col min="11011" max="11011" width="19.85546875" style="1164" customWidth="1"/>
    <col min="11012" max="11012" width="24.42578125" style="1164" customWidth="1"/>
    <col min="11013" max="11013" width="9.140625" style="1164"/>
    <col min="11014" max="11014" width="21.28515625" style="1164" customWidth="1"/>
    <col min="11015" max="11015" width="9.140625" style="1164"/>
    <col min="11016" max="11016" width="13.7109375" style="1164" bestFit="1" customWidth="1"/>
    <col min="11017" max="11264" width="9.140625" style="1164"/>
    <col min="11265" max="11265" width="7.140625" style="1164" customWidth="1"/>
    <col min="11266" max="11266" width="40.42578125" style="1164" customWidth="1"/>
    <col min="11267" max="11267" width="19.85546875" style="1164" customWidth="1"/>
    <col min="11268" max="11268" width="24.42578125" style="1164" customWidth="1"/>
    <col min="11269" max="11269" width="9.140625" style="1164"/>
    <col min="11270" max="11270" width="21.28515625" style="1164" customWidth="1"/>
    <col min="11271" max="11271" width="9.140625" style="1164"/>
    <col min="11272" max="11272" width="13.7109375" style="1164" bestFit="1" customWidth="1"/>
    <col min="11273" max="11520" width="9.140625" style="1164"/>
    <col min="11521" max="11521" width="7.140625" style="1164" customWidth="1"/>
    <col min="11522" max="11522" width="40.42578125" style="1164" customWidth="1"/>
    <col min="11523" max="11523" width="19.85546875" style="1164" customWidth="1"/>
    <col min="11524" max="11524" width="24.42578125" style="1164" customWidth="1"/>
    <col min="11525" max="11525" width="9.140625" style="1164"/>
    <col min="11526" max="11526" width="21.28515625" style="1164" customWidth="1"/>
    <col min="11527" max="11527" width="9.140625" style="1164"/>
    <col min="11528" max="11528" width="13.7109375" style="1164" bestFit="1" customWidth="1"/>
    <col min="11529" max="11776" width="9.140625" style="1164"/>
    <col min="11777" max="11777" width="7.140625" style="1164" customWidth="1"/>
    <col min="11778" max="11778" width="40.42578125" style="1164" customWidth="1"/>
    <col min="11779" max="11779" width="19.85546875" style="1164" customWidth="1"/>
    <col min="11780" max="11780" width="24.42578125" style="1164" customWidth="1"/>
    <col min="11781" max="11781" width="9.140625" style="1164"/>
    <col min="11782" max="11782" width="21.28515625" style="1164" customWidth="1"/>
    <col min="11783" max="11783" width="9.140625" style="1164"/>
    <col min="11784" max="11784" width="13.7109375" style="1164" bestFit="1" customWidth="1"/>
    <col min="11785" max="12032" width="9.140625" style="1164"/>
    <col min="12033" max="12033" width="7.140625" style="1164" customWidth="1"/>
    <col min="12034" max="12034" width="40.42578125" style="1164" customWidth="1"/>
    <col min="12035" max="12035" width="19.85546875" style="1164" customWidth="1"/>
    <col min="12036" max="12036" width="24.42578125" style="1164" customWidth="1"/>
    <col min="12037" max="12037" width="9.140625" style="1164"/>
    <col min="12038" max="12038" width="21.28515625" style="1164" customWidth="1"/>
    <col min="12039" max="12039" width="9.140625" style="1164"/>
    <col min="12040" max="12040" width="13.7109375" style="1164" bestFit="1" customWidth="1"/>
    <col min="12041" max="12288" width="9.140625" style="1164"/>
    <col min="12289" max="12289" width="7.140625" style="1164" customWidth="1"/>
    <col min="12290" max="12290" width="40.42578125" style="1164" customWidth="1"/>
    <col min="12291" max="12291" width="19.85546875" style="1164" customWidth="1"/>
    <col min="12292" max="12292" width="24.42578125" style="1164" customWidth="1"/>
    <col min="12293" max="12293" width="9.140625" style="1164"/>
    <col min="12294" max="12294" width="21.28515625" style="1164" customWidth="1"/>
    <col min="12295" max="12295" width="9.140625" style="1164"/>
    <col min="12296" max="12296" width="13.7109375" style="1164" bestFit="1" customWidth="1"/>
    <col min="12297" max="12544" width="9.140625" style="1164"/>
    <col min="12545" max="12545" width="7.140625" style="1164" customWidth="1"/>
    <col min="12546" max="12546" width="40.42578125" style="1164" customWidth="1"/>
    <col min="12547" max="12547" width="19.85546875" style="1164" customWidth="1"/>
    <col min="12548" max="12548" width="24.42578125" style="1164" customWidth="1"/>
    <col min="12549" max="12549" width="9.140625" style="1164"/>
    <col min="12550" max="12550" width="21.28515625" style="1164" customWidth="1"/>
    <col min="12551" max="12551" width="9.140625" style="1164"/>
    <col min="12552" max="12552" width="13.7109375" style="1164" bestFit="1" customWidth="1"/>
    <col min="12553" max="12800" width="9.140625" style="1164"/>
    <col min="12801" max="12801" width="7.140625" style="1164" customWidth="1"/>
    <col min="12802" max="12802" width="40.42578125" style="1164" customWidth="1"/>
    <col min="12803" max="12803" width="19.85546875" style="1164" customWidth="1"/>
    <col min="12804" max="12804" width="24.42578125" style="1164" customWidth="1"/>
    <col min="12805" max="12805" width="9.140625" style="1164"/>
    <col min="12806" max="12806" width="21.28515625" style="1164" customWidth="1"/>
    <col min="12807" max="12807" width="9.140625" style="1164"/>
    <col min="12808" max="12808" width="13.7109375" style="1164" bestFit="1" customWidth="1"/>
    <col min="12809" max="13056" width="9.140625" style="1164"/>
    <col min="13057" max="13057" width="7.140625" style="1164" customWidth="1"/>
    <col min="13058" max="13058" width="40.42578125" style="1164" customWidth="1"/>
    <col min="13059" max="13059" width="19.85546875" style="1164" customWidth="1"/>
    <col min="13060" max="13060" width="24.42578125" style="1164" customWidth="1"/>
    <col min="13061" max="13061" width="9.140625" style="1164"/>
    <col min="13062" max="13062" width="21.28515625" style="1164" customWidth="1"/>
    <col min="13063" max="13063" width="9.140625" style="1164"/>
    <col min="13064" max="13064" width="13.7109375" style="1164" bestFit="1" customWidth="1"/>
    <col min="13065" max="13312" width="9.140625" style="1164"/>
    <col min="13313" max="13313" width="7.140625" style="1164" customWidth="1"/>
    <col min="13314" max="13314" width="40.42578125" style="1164" customWidth="1"/>
    <col min="13315" max="13315" width="19.85546875" style="1164" customWidth="1"/>
    <col min="13316" max="13316" width="24.42578125" style="1164" customWidth="1"/>
    <col min="13317" max="13317" width="9.140625" style="1164"/>
    <col min="13318" max="13318" width="21.28515625" style="1164" customWidth="1"/>
    <col min="13319" max="13319" width="9.140625" style="1164"/>
    <col min="13320" max="13320" width="13.7109375" style="1164" bestFit="1" customWidth="1"/>
    <col min="13321" max="13568" width="9.140625" style="1164"/>
    <col min="13569" max="13569" width="7.140625" style="1164" customWidth="1"/>
    <col min="13570" max="13570" width="40.42578125" style="1164" customWidth="1"/>
    <col min="13571" max="13571" width="19.85546875" style="1164" customWidth="1"/>
    <col min="13572" max="13572" width="24.42578125" style="1164" customWidth="1"/>
    <col min="13573" max="13573" width="9.140625" style="1164"/>
    <col min="13574" max="13574" width="21.28515625" style="1164" customWidth="1"/>
    <col min="13575" max="13575" width="9.140625" style="1164"/>
    <col min="13576" max="13576" width="13.7109375" style="1164" bestFit="1" customWidth="1"/>
    <col min="13577" max="13824" width="9.140625" style="1164"/>
    <col min="13825" max="13825" width="7.140625" style="1164" customWidth="1"/>
    <col min="13826" max="13826" width="40.42578125" style="1164" customWidth="1"/>
    <col min="13827" max="13827" width="19.85546875" style="1164" customWidth="1"/>
    <col min="13828" max="13828" width="24.42578125" style="1164" customWidth="1"/>
    <col min="13829" max="13829" width="9.140625" style="1164"/>
    <col min="13830" max="13830" width="21.28515625" style="1164" customWidth="1"/>
    <col min="13831" max="13831" width="9.140625" style="1164"/>
    <col min="13832" max="13832" width="13.7109375" style="1164" bestFit="1" customWidth="1"/>
    <col min="13833" max="14080" width="9.140625" style="1164"/>
    <col min="14081" max="14081" width="7.140625" style="1164" customWidth="1"/>
    <col min="14082" max="14082" width="40.42578125" style="1164" customWidth="1"/>
    <col min="14083" max="14083" width="19.85546875" style="1164" customWidth="1"/>
    <col min="14084" max="14084" width="24.42578125" style="1164" customWidth="1"/>
    <col min="14085" max="14085" width="9.140625" style="1164"/>
    <col min="14086" max="14086" width="21.28515625" style="1164" customWidth="1"/>
    <col min="14087" max="14087" width="9.140625" style="1164"/>
    <col min="14088" max="14088" width="13.7109375" style="1164" bestFit="1" customWidth="1"/>
    <col min="14089" max="14336" width="9.140625" style="1164"/>
    <col min="14337" max="14337" width="7.140625" style="1164" customWidth="1"/>
    <col min="14338" max="14338" width="40.42578125" style="1164" customWidth="1"/>
    <col min="14339" max="14339" width="19.85546875" style="1164" customWidth="1"/>
    <col min="14340" max="14340" width="24.42578125" style="1164" customWidth="1"/>
    <col min="14341" max="14341" width="9.140625" style="1164"/>
    <col min="14342" max="14342" width="21.28515625" style="1164" customWidth="1"/>
    <col min="14343" max="14343" width="9.140625" style="1164"/>
    <col min="14344" max="14344" width="13.7109375" style="1164" bestFit="1" customWidth="1"/>
    <col min="14345" max="14592" width="9.140625" style="1164"/>
    <col min="14593" max="14593" width="7.140625" style="1164" customWidth="1"/>
    <col min="14594" max="14594" width="40.42578125" style="1164" customWidth="1"/>
    <col min="14595" max="14595" width="19.85546875" style="1164" customWidth="1"/>
    <col min="14596" max="14596" width="24.42578125" style="1164" customWidth="1"/>
    <col min="14597" max="14597" width="9.140625" style="1164"/>
    <col min="14598" max="14598" width="21.28515625" style="1164" customWidth="1"/>
    <col min="14599" max="14599" width="9.140625" style="1164"/>
    <col min="14600" max="14600" width="13.7109375" style="1164" bestFit="1" customWidth="1"/>
    <col min="14601" max="14848" width="9.140625" style="1164"/>
    <col min="14849" max="14849" width="7.140625" style="1164" customWidth="1"/>
    <col min="14850" max="14850" width="40.42578125" style="1164" customWidth="1"/>
    <col min="14851" max="14851" width="19.85546875" style="1164" customWidth="1"/>
    <col min="14852" max="14852" width="24.42578125" style="1164" customWidth="1"/>
    <col min="14853" max="14853" width="9.140625" style="1164"/>
    <col min="14854" max="14854" width="21.28515625" style="1164" customWidth="1"/>
    <col min="14855" max="14855" width="9.140625" style="1164"/>
    <col min="14856" max="14856" width="13.7109375" style="1164" bestFit="1" customWidth="1"/>
    <col min="14857" max="15104" width="9.140625" style="1164"/>
    <col min="15105" max="15105" width="7.140625" style="1164" customWidth="1"/>
    <col min="15106" max="15106" width="40.42578125" style="1164" customWidth="1"/>
    <col min="15107" max="15107" width="19.85546875" style="1164" customWidth="1"/>
    <col min="15108" max="15108" width="24.42578125" style="1164" customWidth="1"/>
    <col min="15109" max="15109" width="9.140625" style="1164"/>
    <col min="15110" max="15110" width="21.28515625" style="1164" customWidth="1"/>
    <col min="15111" max="15111" width="9.140625" style="1164"/>
    <col min="15112" max="15112" width="13.7109375" style="1164" bestFit="1" customWidth="1"/>
    <col min="15113" max="15360" width="9.140625" style="1164"/>
    <col min="15361" max="15361" width="7.140625" style="1164" customWidth="1"/>
    <col min="15362" max="15362" width="40.42578125" style="1164" customWidth="1"/>
    <col min="15363" max="15363" width="19.85546875" style="1164" customWidth="1"/>
    <col min="15364" max="15364" width="24.42578125" style="1164" customWidth="1"/>
    <col min="15365" max="15365" width="9.140625" style="1164"/>
    <col min="15366" max="15366" width="21.28515625" style="1164" customWidth="1"/>
    <col min="15367" max="15367" width="9.140625" style="1164"/>
    <col min="15368" max="15368" width="13.7109375" style="1164" bestFit="1" customWidth="1"/>
    <col min="15369" max="15616" width="9.140625" style="1164"/>
    <col min="15617" max="15617" width="7.140625" style="1164" customWidth="1"/>
    <col min="15618" max="15618" width="40.42578125" style="1164" customWidth="1"/>
    <col min="15619" max="15619" width="19.85546875" style="1164" customWidth="1"/>
    <col min="15620" max="15620" width="24.42578125" style="1164" customWidth="1"/>
    <col min="15621" max="15621" width="9.140625" style="1164"/>
    <col min="15622" max="15622" width="21.28515625" style="1164" customWidth="1"/>
    <col min="15623" max="15623" width="9.140625" style="1164"/>
    <col min="15624" max="15624" width="13.7109375" style="1164" bestFit="1" customWidth="1"/>
    <col min="15625" max="15872" width="9.140625" style="1164"/>
    <col min="15873" max="15873" width="7.140625" style="1164" customWidth="1"/>
    <col min="15874" max="15874" width="40.42578125" style="1164" customWidth="1"/>
    <col min="15875" max="15875" width="19.85546875" style="1164" customWidth="1"/>
    <col min="15876" max="15876" width="24.42578125" style="1164" customWidth="1"/>
    <col min="15877" max="15877" width="9.140625" style="1164"/>
    <col min="15878" max="15878" width="21.28515625" style="1164" customWidth="1"/>
    <col min="15879" max="15879" width="9.140625" style="1164"/>
    <col min="15880" max="15880" width="13.7109375" style="1164" bestFit="1" customWidth="1"/>
    <col min="15881" max="16128" width="9.140625" style="1164"/>
    <col min="16129" max="16129" width="7.140625" style="1164" customWidth="1"/>
    <col min="16130" max="16130" width="40.42578125" style="1164" customWidth="1"/>
    <col min="16131" max="16131" width="19.85546875" style="1164" customWidth="1"/>
    <col min="16132" max="16132" width="24.42578125" style="1164" customWidth="1"/>
    <col min="16133" max="16133" width="9.140625" style="1164"/>
    <col min="16134" max="16134" width="21.28515625" style="1164" customWidth="1"/>
    <col min="16135" max="16135" width="9.140625" style="1164"/>
    <col min="16136" max="16136" width="13.7109375" style="1164" bestFit="1" customWidth="1"/>
    <col min="16137" max="16384" width="9.140625" style="1164"/>
  </cols>
  <sheetData>
    <row r="1" spans="1:16" ht="23.25" customHeight="1" x14ac:dyDescent="0.2">
      <c r="A1" s="1628" t="s">
        <v>925</v>
      </c>
      <c r="B1" s="1628"/>
      <c r="C1" s="1628"/>
      <c r="D1" s="1628"/>
    </row>
    <row r="2" spans="1:16" x14ac:dyDescent="0.2">
      <c r="A2" s="1628"/>
      <c r="B2" s="1628"/>
      <c r="C2" s="1628"/>
      <c r="D2" s="1628"/>
    </row>
    <row r="3" spans="1:16" ht="15.95" hidden="1" customHeight="1" x14ac:dyDescent="0.2">
      <c r="A3" s="1165"/>
      <c r="B3" s="1629" t="s">
        <v>926</v>
      </c>
      <c r="C3" s="1629"/>
      <c r="D3" s="1629"/>
    </row>
    <row r="4" spans="1:16" ht="15.95" hidden="1" customHeight="1" x14ac:dyDescent="0.2">
      <c r="A4" s="1165"/>
      <c r="B4" s="1166"/>
      <c r="C4" s="1167"/>
      <c r="D4" s="1168"/>
    </row>
    <row r="5" spans="1:16" ht="15.95" customHeight="1" thickBot="1" x14ac:dyDescent="0.25">
      <c r="A5" s="1165"/>
      <c r="B5" s="1166"/>
      <c r="C5" s="1167"/>
      <c r="D5" s="1168"/>
    </row>
    <row r="6" spans="1:16" ht="15.95" customHeight="1" x14ac:dyDescent="0.2">
      <c r="A6" s="1630" t="s">
        <v>660</v>
      </c>
      <c r="B6" s="1632" t="s">
        <v>927</v>
      </c>
      <c r="C6" s="1632" t="s">
        <v>928</v>
      </c>
      <c r="D6" s="1169" t="s">
        <v>929</v>
      </c>
    </row>
    <row r="7" spans="1:16" ht="15.95" customHeight="1" thickBot="1" x14ac:dyDescent="0.25">
      <c r="A7" s="1631"/>
      <c r="B7" s="1633"/>
      <c r="C7" s="1633"/>
      <c r="D7" s="1170" t="s">
        <v>930</v>
      </c>
      <c r="F7" s="1171"/>
      <c r="G7" s="1171"/>
      <c r="H7" s="1171"/>
    </row>
    <row r="8" spans="1:16" ht="15.95" customHeight="1" x14ac:dyDescent="0.2">
      <c r="A8" s="1172"/>
      <c r="B8" s="1173"/>
      <c r="C8" s="1174"/>
      <c r="D8" s="1175"/>
      <c r="F8" s="1171"/>
      <c r="G8" s="1171"/>
      <c r="H8" s="1171"/>
    </row>
    <row r="9" spans="1:16" x14ac:dyDescent="0.2">
      <c r="A9" s="1176">
        <v>1</v>
      </c>
      <c r="B9" s="1177" t="s">
        <v>17</v>
      </c>
      <c r="C9" s="1178" t="s">
        <v>931</v>
      </c>
      <c r="D9" s="1179">
        <v>90500</v>
      </c>
      <c r="F9" s="1171"/>
      <c r="G9" s="1171"/>
      <c r="H9" s="1171"/>
    </row>
    <row r="10" spans="1:16" x14ac:dyDescent="0.2">
      <c r="A10" s="1176">
        <v>2</v>
      </c>
      <c r="B10" s="1177" t="s">
        <v>887</v>
      </c>
      <c r="C10" s="1178" t="s">
        <v>931</v>
      </c>
      <c r="D10" s="1180">
        <v>130000</v>
      </c>
      <c r="F10" s="1171"/>
      <c r="G10" s="1171"/>
      <c r="H10" s="1171"/>
    </row>
    <row r="11" spans="1:16" x14ac:dyDescent="0.2">
      <c r="A11" s="1176">
        <v>3</v>
      </c>
      <c r="B11" s="1177" t="s">
        <v>18</v>
      </c>
      <c r="C11" s="1178" t="s">
        <v>931</v>
      </c>
      <c r="D11" s="1180">
        <v>144000</v>
      </c>
      <c r="F11" s="1171"/>
      <c r="G11" s="1171"/>
      <c r="H11" s="1171"/>
    </row>
    <row r="12" spans="1:16" x14ac:dyDescent="0.2">
      <c r="A12" s="1176">
        <v>4</v>
      </c>
      <c r="B12" s="1177" t="s">
        <v>19</v>
      </c>
      <c r="C12" s="1178" t="s">
        <v>931</v>
      </c>
      <c r="D12" s="1181">
        <v>132000</v>
      </c>
      <c r="F12" s="1171"/>
      <c r="G12" s="1171"/>
      <c r="H12" s="1171"/>
    </row>
    <row r="13" spans="1:16" x14ac:dyDescent="0.2">
      <c r="A13" s="1179"/>
      <c r="B13" s="1181"/>
      <c r="C13" s="1179"/>
      <c r="D13" s="1182"/>
      <c r="F13" s="1183"/>
      <c r="G13" s="1171"/>
      <c r="H13" s="1171"/>
    </row>
    <row r="14" spans="1:16" x14ac:dyDescent="0.2">
      <c r="A14" s="1184"/>
      <c r="B14" s="1185" t="s">
        <v>932</v>
      </c>
      <c r="C14" s="1186"/>
      <c r="D14" s="1187"/>
      <c r="F14" s="1171"/>
    </row>
    <row r="15" spans="1:16" x14ac:dyDescent="0.2">
      <c r="A15" s="1188" t="s">
        <v>556</v>
      </c>
      <c r="B15" s="1189" t="s">
        <v>933</v>
      </c>
      <c r="C15" s="1190"/>
      <c r="D15" s="1191"/>
      <c r="F15" s="1171"/>
    </row>
    <row r="16" spans="1:16" x14ac:dyDescent="0.2">
      <c r="A16" s="1190"/>
      <c r="B16" s="1192" t="s">
        <v>934</v>
      </c>
      <c r="C16" s="1179"/>
      <c r="D16" s="1193"/>
      <c r="F16" s="1194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</row>
    <row r="17" spans="1:16" x14ac:dyDescent="0.2">
      <c r="A17" s="1190">
        <v>1</v>
      </c>
      <c r="B17" s="1196" t="s">
        <v>935</v>
      </c>
      <c r="C17" s="1197" t="s">
        <v>936</v>
      </c>
      <c r="D17" s="1198">
        <v>61100</v>
      </c>
      <c r="F17" s="1199"/>
      <c r="G17" s="1200"/>
      <c r="H17" s="1200"/>
      <c r="I17" s="1200"/>
      <c r="J17" s="1201"/>
      <c r="K17" s="1201"/>
      <c r="L17" s="1201"/>
      <c r="M17" s="1201"/>
    </row>
    <row r="18" spans="1:16" x14ac:dyDescent="0.2">
      <c r="A18" s="1190">
        <v>2</v>
      </c>
      <c r="B18" s="1196" t="s">
        <v>937</v>
      </c>
      <c r="C18" s="1197" t="s">
        <v>12</v>
      </c>
      <c r="D18" s="1193">
        <f>D17/40</f>
        <v>1527.5</v>
      </c>
      <c r="F18" s="1199"/>
      <c r="G18" s="1200"/>
      <c r="H18" s="1200"/>
      <c r="I18" s="1200"/>
      <c r="J18" s="1201"/>
      <c r="K18" s="1201"/>
      <c r="L18" s="1201"/>
      <c r="M18" s="1201"/>
    </row>
    <row r="19" spans="1:16" x14ac:dyDescent="0.2">
      <c r="A19" s="1190"/>
      <c r="B19" s="1202"/>
      <c r="C19" s="1179"/>
      <c r="D19" s="1179"/>
      <c r="E19" s="1171"/>
      <c r="F19" s="1203"/>
      <c r="G19" s="1171"/>
      <c r="H19" s="1171"/>
      <c r="I19" s="1171"/>
      <c r="J19" s="1171"/>
      <c r="K19" s="1171"/>
      <c r="L19" s="1171"/>
      <c r="M19" s="1171"/>
    </row>
    <row r="20" spans="1:16" x14ac:dyDescent="0.2">
      <c r="A20" s="1190"/>
      <c r="B20" s="1189" t="s">
        <v>938</v>
      </c>
      <c r="C20" s="1179"/>
      <c r="D20" s="1179"/>
      <c r="E20" s="1171"/>
      <c r="F20" s="1203"/>
      <c r="G20" s="1171"/>
      <c r="H20" s="1171"/>
      <c r="I20" s="1171"/>
      <c r="J20" s="1171"/>
      <c r="K20" s="1171"/>
      <c r="L20" s="1171"/>
      <c r="M20" s="1171"/>
    </row>
    <row r="21" spans="1:16" x14ac:dyDescent="0.2">
      <c r="A21" s="1190">
        <v>1</v>
      </c>
      <c r="B21" s="1179" t="s">
        <v>939</v>
      </c>
      <c r="C21" s="1204" t="s">
        <v>940</v>
      </c>
      <c r="D21" s="1193">
        <v>100000</v>
      </c>
      <c r="E21" s="1171"/>
      <c r="F21" s="1205"/>
      <c r="G21" s="1171"/>
      <c r="H21" s="1171"/>
      <c r="I21" s="1171"/>
      <c r="J21" s="1171"/>
      <c r="K21" s="1171"/>
      <c r="L21" s="1171"/>
      <c r="M21" s="1171"/>
    </row>
    <row r="22" spans="1:16" x14ac:dyDescent="0.2">
      <c r="A22" s="1190">
        <v>2</v>
      </c>
      <c r="B22" s="1179" t="s">
        <v>941</v>
      </c>
      <c r="C22" s="1204" t="s">
        <v>940</v>
      </c>
      <c r="D22" s="1193">
        <v>85000</v>
      </c>
      <c r="E22" s="1171"/>
      <c r="F22" s="1205"/>
      <c r="G22" s="1171"/>
      <c r="H22" s="1171"/>
      <c r="I22" s="1171"/>
      <c r="J22" s="1171"/>
      <c r="K22" s="1171"/>
      <c r="L22" s="1171"/>
      <c r="M22" s="1171"/>
    </row>
    <row r="23" spans="1:16" x14ac:dyDescent="0.2">
      <c r="A23" s="1190">
        <v>3</v>
      </c>
      <c r="B23" s="1179" t="s">
        <v>942</v>
      </c>
      <c r="C23" s="1204" t="s">
        <v>940</v>
      </c>
      <c r="D23" s="1193">
        <v>50500</v>
      </c>
      <c r="E23" s="1171"/>
      <c r="F23" s="1205"/>
      <c r="G23" s="1171"/>
      <c r="H23" s="1171"/>
      <c r="I23" s="1171"/>
      <c r="J23" s="1171"/>
      <c r="K23" s="1171"/>
      <c r="L23" s="1171"/>
      <c r="M23" s="1171"/>
    </row>
    <row r="24" spans="1:16" x14ac:dyDescent="0.2">
      <c r="A24" s="1190">
        <v>4</v>
      </c>
      <c r="B24" s="1179" t="s">
        <v>943</v>
      </c>
      <c r="C24" s="1204" t="s">
        <v>37</v>
      </c>
      <c r="D24" s="1193">
        <v>278000</v>
      </c>
      <c r="E24" s="1171"/>
      <c r="F24" s="1205"/>
      <c r="G24" s="1171"/>
      <c r="H24" s="1171"/>
      <c r="I24" s="1171"/>
      <c r="J24" s="1171"/>
      <c r="K24" s="1171"/>
      <c r="L24" s="1171"/>
      <c r="M24" s="1171"/>
    </row>
    <row r="25" spans="1:16" x14ac:dyDescent="0.2">
      <c r="A25" s="1190">
        <v>5</v>
      </c>
      <c r="B25" s="1179" t="s">
        <v>944</v>
      </c>
      <c r="C25" s="1204" t="s">
        <v>37</v>
      </c>
      <c r="D25" s="1193">
        <v>138400</v>
      </c>
      <c r="F25" s="1205"/>
      <c r="G25" s="1171"/>
      <c r="H25" s="1171"/>
      <c r="I25" s="1171"/>
      <c r="J25" s="1171"/>
      <c r="K25" s="1171"/>
      <c r="L25" s="1171"/>
      <c r="M25" s="1171"/>
    </row>
    <row r="26" spans="1:16" x14ac:dyDescent="0.2">
      <c r="A26" s="1190">
        <v>6</v>
      </c>
      <c r="B26" s="1179" t="s">
        <v>945</v>
      </c>
      <c r="C26" s="1204" t="s">
        <v>37</v>
      </c>
      <c r="D26" s="1193">
        <v>50500</v>
      </c>
      <c r="F26" s="1205"/>
      <c r="G26" s="1171"/>
      <c r="H26" s="1171"/>
      <c r="I26" s="1171"/>
      <c r="J26" s="1171"/>
      <c r="K26" s="1171"/>
      <c r="L26" s="1171"/>
      <c r="M26" s="1171"/>
      <c r="N26" s="1171"/>
      <c r="O26" s="1171"/>
      <c r="P26" s="1171"/>
    </row>
    <row r="27" spans="1:16" x14ac:dyDescent="0.2">
      <c r="A27" s="1190">
        <v>7</v>
      </c>
      <c r="B27" s="1179" t="s">
        <v>946</v>
      </c>
      <c r="C27" s="1204" t="s">
        <v>940</v>
      </c>
      <c r="D27" s="1193">
        <v>312000</v>
      </c>
      <c r="F27" s="1205"/>
      <c r="G27" s="1171"/>
      <c r="H27" s="1171"/>
      <c r="I27" s="1171"/>
      <c r="J27" s="1171"/>
      <c r="K27" s="1171"/>
      <c r="L27" s="1171"/>
      <c r="M27" s="1171"/>
      <c r="N27" s="1171"/>
      <c r="O27" s="1171"/>
      <c r="P27" s="1171"/>
    </row>
    <row r="28" spans="1:16" x14ac:dyDescent="0.2">
      <c r="A28" s="1190">
        <v>8</v>
      </c>
      <c r="B28" s="1179" t="s">
        <v>947</v>
      </c>
      <c r="C28" s="1204" t="s">
        <v>940</v>
      </c>
      <c r="D28" s="1193">
        <v>287500</v>
      </c>
      <c r="F28" s="1205"/>
      <c r="G28" s="1171"/>
      <c r="H28" s="1171"/>
      <c r="I28" s="1171"/>
      <c r="J28" s="1171"/>
      <c r="K28" s="1171"/>
      <c r="L28" s="1171"/>
      <c r="M28" s="1171"/>
      <c r="N28" s="1171"/>
      <c r="O28" s="1171"/>
      <c r="P28" s="1171"/>
    </row>
    <row r="29" spans="1:16" x14ac:dyDescent="0.2">
      <c r="A29" s="1190">
        <v>10</v>
      </c>
      <c r="B29" s="1179" t="s">
        <v>948</v>
      </c>
      <c r="C29" s="1204" t="s">
        <v>37</v>
      </c>
      <c r="D29" s="1193">
        <f>D28</f>
        <v>287500</v>
      </c>
      <c r="F29" s="1205"/>
      <c r="G29" s="1171"/>
      <c r="H29" s="1171"/>
      <c r="I29" s="1171"/>
      <c r="J29" s="1171"/>
      <c r="K29" s="1171"/>
      <c r="L29" s="1171"/>
      <c r="M29" s="1171"/>
      <c r="N29" s="1171"/>
      <c r="O29" s="1171"/>
      <c r="P29" s="1171"/>
    </row>
    <row r="30" spans="1:16" x14ac:dyDescent="0.2">
      <c r="A30" s="1190">
        <v>11</v>
      </c>
      <c r="B30" s="1179" t="s">
        <v>949</v>
      </c>
      <c r="C30" s="1204" t="s">
        <v>37</v>
      </c>
      <c r="D30" s="1193">
        <f>D27</f>
        <v>312000</v>
      </c>
      <c r="F30" s="1205"/>
      <c r="G30" s="1171"/>
      <c r="H30" s="1171"/>
      <c r="I30" s="1171"/>
      <c r="J30" s="1171"/>
      <c r="K30" s="1171"/>
      <c r="L30" s="1171"/>
      <c r="M30" s="1171"/>
      <c r="N30" s="1171"/>
      <c r="O30" s="1171"/>
      <c r="P30" s="1171"/>
    </row>
    <row r="31" spans="1:16" x14ac:dyDescent="0.2">
      <c r="A31" s="1190"/>
      <c r="B31" s="1179"/>
      <c r="C31" s="1204"/>
      <c r="D31" s="1179"/>
      <c r="F31" s="1203"/>
      <c r="G31" s="1171"/>
      <c r="H31" s="1171"/>
      <c r="I31" s="1171"/>
      <c r="J31" s="1171"/>
      <c r="K31" s="1171"/>
      <c r="L31" s="1171"/>
      <c r="M31" s="1171"/>
      <c r="N31" s="1171"/>
      <c r="O31" s="1171"/>
      <c r="P31" s="1171"/>
    </row>
    <row r="32" spans="1:16" hidden="1" x14ac:dyDescent="0.2">
      <c r="A32" s="1190"/>
      <c r="B32" s="1179"/>
      <c r="C32" s="1204"/>
      <c r="D32" s="1179"/>
      <c r="F32" s="1203"/>
    </row>
    <row r="33" spans="1:20" x14ac:dyDescent="0.2">
      <c r="A33" s="1190"/>
      <c r="B33" s="1206" t="s">
        <v>950</v>
      </c>
      <c r="C33" s="1204"/>
      <c r="D33" s="1179"/>
      <c r="F33" s="1203"/>
    </row>
    <row r="34" spans="1:20" x14ac:dyDescent="0.2">
      <c r="A34" s="1190">
        <v>1</v>
      </c>
      <c r="B34" s="1179" t="s">
        <v>951</v>
      </c>
      <c r="C34" s="1207" t="s">
        <v>881</v>
      </c>
      <c r="D34" s="1179">
        <v>11000</v>
      </c>
      <c r="F34" s="1171"/>
    </row>
    <row r="35" spans="1:20" x14ac:dyDescent="0.2">
      <c r="A35" s="1190">
        <v>2</v>
      </c>
      <c r="B35" s="1179" t="s">
        <v>952</v>
      </c>
      <c r="C35" s="1207" t="s">
        <v>953</v>
      </c>
      <c r="D35" s="1179">
        <v>30000</v>
      </c>
      <c r="F35" s="1171"/>
    </row>
    <row r="36" spans="1:20" x14ac:dyDescent="0.2">
      <c r="A36" s="1190">
        <v>3</v>
      </c>
      <c r="B36" s="1179" t="s">
        <v>954</v>
      </c>
      <c r="C36" s="1207" t="s">
        <v>953</v>
      </c>
      <c r="D36" s="1179">
        <v>50300</v>
      </c>
      <c r="F36" s="1171"/>
    </row>
    <row r="37" spans="1:20" x14ac:dyDescent="0.2">
      <c r="A37" s="1190">
        <v>4</v>
      </c>
      <c r="B37" s="1179" t="s">
        <v>955</v>
      </c>
      <c r="C37" s="1207" t="s">
        <v>235</v>
      </c>
      <c r="D37" s="1179">
        <v>18400</v>
      </c>
      <c r="F37" s="1171"/>
    </row>
    <row r="38" spans="1:20" x14ac:dyDescent="0.2">
      <c r="A38" s="1190">
        <v>5</v>
      </c>
      <c r="B38" s="1179" t="s">
        <v>956</v>
      </c>
      <c r="C38" s="1207" t="s">
        <v>12</v>
      </c>
      <c r="D38" s="1179">
        <v>40000</v>
      </c>
      <c r="F38" s="1171"/>
    </row>
    <row r="39" spans="1:20" x14ac:dyDescent="0.2">
      <c r="A39" s="1190">
        <v>6</v>
      </c>
      <c r="B39" s="1179" t="s">
        <v>957</v>
      </c>
      <c r="C39" s="1207" t="s">
        <v>12</v>
      </c>
      <c r="D39" s="1179">
        <v>18400</v>
      </c>
      <c r="F39" s="1171"/>
    </row>
    <row r="40" spans="1:20" x14ac:dyDescent="0.2">
      <c r="A40" s="1190"/>
      <c r="B40" s="1179"/>
      <c r="C40" s="1207"/>
      <c r="D40" s="1179"/>
      <c r="F40" s="1171"/>
    </row>
    <row r="41" spans="1:20" x14ac:dyDescent="0.2">
      <c r="A41" s="1190"/>
      <c r="B41" s="1206" t="s">
        <v>958</v>
      </c>
      <c r="C41" s="1207"/>
      <c r="D41" s="1179"/>
      <c r="F41" s="1171"/>
    </row>
    <row r="42" spans="1:20" x14ac:dyDescent="0.2">
      <c r="A42" s="1190">
        <v>1</v>
      </c>
      <c r="B42" s="1179" t="s">
        <v>959</v>
      </c>
      <c r="C42" s="1207" t="s">
        <v>960</v>
      </c>
      <c r="D42" s="1179">
        <v>317500</v>
      </c>
      <c r="F42" s="1171"/>
    </row>
    <row r="43" spans="1:20" x14ac:dyDescent="0.2">
      <c r="A43" s="1190">
        <v>2</v>
      </c>
      <c r="B43" s="1179" t="s">
        <v>961</v>
      </c>
      <c r="C43" s="1207" t="s">
        <v>960</v>
      </c>
      <c r="D43" s="1179">
        <v>92800</v>
      </c>
      <c r="F43" s="1171"/>
    </row>
    <row r="44" spans="1:20" x14ac:dyDescent="0.2">
      <c r="A44" s="1190">
        <v>3</v>
      </c>
      <c r="B44" s="1179" t="s">
        <v>962</v>
      </c>
      <c r="C44" s="1207" t="s">
        <v>960</v>
      </c>
      <c r="D44" s="1179">
        <v>121100</v>
      </c>
      <c r="F44" s="1171"/>
    </row>
    <row r="45" spans="1:20" x14ac:dyDescent="0.2">
      <c r="A45" s="1190">
        <v>4</v>
      </c>
      <c r="B45" s="1179" t="s">
        <v>963</v>
      </c>
      <c r="C45" s="1207" t="s">
        <v>960</v>
      </c>
      <c r="D45" s="1179">
        <v>176600</v>
      </c>
      <c r="F45" s="1171"/>
    </row>
    <row r="46" spans="1:20" x14ac:dyDescent="0.2">
      <c r="A46" s="1190">
        <v>5</v>
      </c>
      <c r="B46" s="1179" t="s">
        <v>964</v>
      </c>
      <c r="C46" s="1207" t="s">
        <v>960</v>
      </c>
      <c r="D46" s="1179">
        <v>235000</v>
      </c>
      <c r="F46" s="1171"/>
    </row>
    <row r="47" spans="1:20" x14ac:dyDescent="0.2">
      <c r="A47" s="1190"/>
      <c r="B47" s="1179"/>
      <c r="C47" s="1207"/>
      <c r="D47" s="1179"/>
      <c r="F47" s="1171"/>
      <c r="R47" s="1164" t="s">
        <v>960</v>
      </c>
      <c r="T47" s="1164">
        <v>216100</v>
      </c>
    </row>
    <row r="48" spans="1:20" x14ac:dyDescent="0.2">
      <c r="A48" s="1188"/>
      <c r="B48" s="1206" t="s">
        <v>965</v>
      </c>
      <c r="C48" s="1207"/>
      <c r="D48" s="1179"/>
      <c r="F48" s="1171"/>
    </row>
    <row r="49" spans="1:6" hidden="1" x14ac:dyDescent="0.2">
      <c r="A49" s="1190">
        <v>1</v>
      </c>
      <c r="B49" s="1179" t="s">
        <v>966</v>
      </c>
      <c r="C49" s="1207" t="s">
        <v>7</v>
      </c>
      <c r="D49" s="1179">
        <v>165400</v>
      </c>
      <c r="F49" s="1171"/>
    </row>
    <row r="50" spans="1:6" hidden="1" x14ac:dyDescent="0.2">
      <c r="A50" s="1190">
        <v>2</v>
      </c>
      <c r="B50" s="1179" t="s">
        <v>967</v>
      </c>
      <c r="C50" s="1207" t="s">
        <v>7</v>
      </c>
      <c r="D50" s="1179">
        <v>12200700</v>
      </c>
      <c r="F50" s="1171"/>
    </row>
    <row r="51" spans="1:6" hidden="1" x14ac:dyDescent="0.2">
      <c r="A51" s="1190">
        <v>3</v>
      </c>
      <c r="B51" s="1179" t="s">
        <v>968</v>
      </c>
      <c r="C51" s="1207" t="s">
        <v>7</v>
      </c>
      <c r="D51" s="1179">
        <v>11652300</v>
      </c>
      <c r="F51" s="1171"/>
    </row>
    <row r="52" spans="1:6" hidden="1" x14ac:dyDescent="0.2">
      <c r="A52" s="1190">
        <v>4</v>
      </c>
      <c r="B52" s="1179" t="s">
        <v>969</v>
      </c>
      <c r="C52" s="1207" t="s">
        <v>7</v>
      </c>
      <c r="D52" s="1179">
        <v>9710300</v>
      </c>
      <c r="F52" s="1171"/>
    </row>
    <row r="53" spans="1:6" x14ac:dyDescent="0.2">
      <c r="A53" s="1190">
        <v>1</v>
      </c>
      <c r="B53" s="1179" t="s">
        <v>970</v>
      </c>
      <c r="C53" s="1207" t="s">
        <v>7</v>
      </c>
      <c r="D53" s="1179">
        <v>7450000</v>
      </c>
      <c r="F53" s="1171"/>
    </row>
    <row r="54" spans="1:6" x14ac:dyDescent="0.2">
      <c r="A54" s="1190"/>
      <c r="B54" s="1179"/>
      <c r="C54" s="1207"/>
      <c r="D54" s="1179"/>
      <c r="F54" s="1171"/>
    </row>
    <row r="55" spans="1:6" x14ac:dyDescent="0.2">
      <c r="A55" s="1190">
        <v>1</v>
      </c>
      <c r="B55" s="1179" t="s">
        <v>971</v>
      </c>
      <c r="C55" s="1207" t="s">
        <v>12</v>
      </c>
      <c r="D55" s="1179">
        <v>20400</v>
      </c>
      <c r="F55" s="1171"/>
    </row>
    <row r="56" spans="1:6" x14ac:dyDescent="0.2">
      <c r="A56" s="1190">
        <v>2</v>
      </c>
      <c r="B56" s="1179" t="s">
        <v>972</v>
      </c>
      <c r="C56" s="1207" t="s">
        <v>12</v>
      </c>
      <c r="D56" s="1179">
        <v>800000</v>
      </c>
      <c r="F56" s="1171"/>
    </row>
    <row r="57" spans="1:6" x14ac:dyDescent="0.2">
      <c r="A57" s="1208">
        <v>3</v>
      </c>
      <c r="B57" s="1209" t="s">
        <v>79</v>
      </c>
      <c r="C57" s="1210" t="s">
        <v>12</v>
      </c>
      <c r="D57" s="1179">
        <v>26000</v>
      </c>
      <c r="F57" s="1171"/>
    </row>
    <row r="58" spans="1:6" hidden="1" x14ac:dyDescent="0.2">
      <c r="A58" s="1190">
        <v>5</v>
      </c>
      <c r="B58" s="1179" t="s">
        <v>973</v>
      </c>
      <c r="C58" s="1204" t="s">
        <v>974</v>
      </c>
      <c r="D58" s="1179">
        <v>22900</v>
      </c>
      <c r="F58" s="1171"/>
    </row>
    <row r="59" spans="1:6" hidden="1" x14ac:dyDescent="0.2">
      <c r="A59" s="1190">
        <v>6</v>
      </c>
      <c r="B59" s="1179" t="s">
        <v>975</v>
      </c>
      <c r="C59" s="1204" t="s">
        <v>960</v>
      </c>
      <c r="D59" s="1179">
        <v>61600</v>
      </c>
      <c r="F59" s="1171"/>
    </row>
    <row r="60" spans="1:6" hidden="1" x14ac:dyDescent="0.2">
      <c r="A60" s="1190">
        <v>7</v>
      </c>
      <c r="B60" s="1179" t="s">
        <v>976</v>
      </c>
      <c r="C60" s="1204" t="s">
        <v>960</v>
      </c>
      <c r="D60" s="1179">
        <v>176800</v>
      </c>
      <c r="F60" s="1171"/>
    </row>
    <row r="61" spans="1:6" hidden="1" x14ac:dyDescent="0.2">
      <c r="A61" s="1190">
        <v>8</v>
      </c>
      <c r="B61" s="1179" t="s">
        <v>977</v>
      </c>
      <c r="C61" s="1204" t="s">
        <v>960</v>
      </c>
      <c r="D61" s="1179">
        <v>218900</v>
      </c>
      <c r="F61" s="1171"/>
    </row>
    <row r="62" spans="1:6" ht="34.5" hidden="1" customHeight="1" x14ac:dyDescent="0.2">
      <c r="A62" s="1211"/>
      <c r="B62" s="1212"/>
      <c r="C62" s="1213"/>
      <c r="D62" s="1191"/>
      <c r="F62" s="1171"/>
    </row>
    <row r="63" spans="1:6" hidden="1" x14ac:dyDescent="0.2">
      <c r="A63" s="1190"/>
      <c r="B63" s="1202"/>
      <c r="C63" s="1190"/>
      <c r="D63" s="1191"/>
      <c r="F63" s="1171"/>
    </row>
    <row r="64" spans="1:6" hidden="1" x14ac:dyDescent="0.2">
      <c r="A64" s="1190"/>
      <c r="B64" s="1202"/>
      <c r="C64" s="1190"/>
      <c r="D64" s="1191"/>
      <c r="F64" s="1171"/>
    </row>
    <row r="65" spans="1:19" hidden="1" x14ac:dyDescent="0.2">
      <c r="A65" s="1184" t="s">
        <v>1</v>
      </c>
      <c r="B65" s="1185" t="s">
        <v>978</v>
      </c>
      <c r="C65" s="1186"/>
      <c r="D65" s="1187"/>
      <c r="F65" s="1171"/>
    </row>
    <row r="66" spans="1:19" hidden="1" x14ac:dyDescent="0.2">
      <c r="A66" s="1190">
        <v>1</v>
      </c>
      <c r="B66" s="1202" t="s">
        <v>979</v>
      </c>
      <c r="C66" s="1190" t="s">
        <v>846</v>
      </c>
      <c r="D66" s="1191"/>
      <c r="F66" s="1171"/>
    </row>
    <row r="67" spans="1:19" hidden="1" x14ac:dyDescent="0.2">
      <c r="A67" s="1190">
        <v>2</v>
      </c>
      <c r="B67" s="1202" t="s">
        <v>980</v>
      </c>
      <c r="C67" s="1190" t="s">
        <v>846</v>
      </c>
      <c r="D67" s="1191"/>
      <c r="F67" s="1171"/>
    </row>
    <row r="68" spans="1:19" hidden="1" x14ac:dyDescent="0.2">
      <c r="A68" s="1190">
        <v>3</v>
      </c>
      <c r="B68" s="1202" t="s">
        <v>981</v>
      </c>
      <c r="C68" s="1190" t="s">
        <v>846</v>
      </c>
      <c r="D68" s="1191" t="e">
        <f>#REF!*112%</f>
        <v>#REF!</v>
      </c>
      <c r="F68" s="1171"/>
      <c r="Q68" s="1164" t="s">
        <v>960</v>
      </c>
      <c r="S68" s="1164">
        <v>71900</v>
      </c>
    </row>
    <row r="69" spans="1:19" hidden="1" x14ac:dyDescent="0.2">
      <c r="A69" s="1190">
        <v>4</v>
      </c>
      <c r="B69" s="1202" t="s">
        <v>982</v>
      </c>
      <c r="C69" s="1190" t="s">
        <v>846</v>
      </c>
      <c r="D69" s="1191" t="e">
        <f>#REF!*112%</f>
        <v>#REF!</v>
      </c>
      <c r="F69" s="1171"/>
      <c r="Q69" s="1164" t="s">
        <v>960</v>
      </c>
      <c r="S69" s="1164">
        <v>84900</v>
      </c>
    </row>
    <row r="70" spans="1:19" hidden="1" x14ac:dyDescent="0.2">
      <c r="A70" s="1190">
        <v>5</v>
      </c>
      <c r="B70" s="1202" t="s">
        <v>983</v>
      </c>
      <c r="C70" s="1190" t="s">
        <v>846</v>
      </c>
      <c r="D70" s="1191" t="e">
        <f>#REF!*112%</f>
        <v>#REF!</v>
      </c>
      <c r="F70" s="1171"/>
      <c r="Q70" s="1164" t="s">
        <v>960</v>
      </c>
      <c r="S70" s="1164">
        <v>119800</v>
      </c>
    </row>
    <row r="71" spans="1:19" hidden="1" x14ac:dyDescent="0.2">
      <c r="A71" s="1190">
        <v>6</v>
      </c>
      <c r="B71" s="1202" t="s">
        <v>984</v>
      </c>
      <c r="C71" s="1190" t="s">
        <v>846</v>
      </c>
      <c r="D71" s="1191" t="e">
        <f>#REF!*112%</f>
        <v>#REF!</v>
      </c>
      <c r="F71" s="1171"/>
      <c r="Q71" s="1164" t="s">
        <v>960</v>
      </c>
      <c r="S71" s="1164">
        <v>205700</v>
      </c>
    </row>
    <row r="72" spans="1:19" hidden="1" x14ac:dyDescent="0.2">
      <c r="A72" s="1190">
        <v>7</v>
      </c>
      <c r="B72" s="1202" t="s">
        <v>985</v>
      </c>
      <c r="C72" s="1190" t="s">
        <v>846</v>
      </c>
      <c r="D72" s="1191">
        <f t="shared" ref="D72:D80" si="0">F72*112%</f>
        <v>0</v>
      </c>
      <c r="F72" s="1171"/>
    </row>
    <row r="73" spans="1:19" hidden="1" x14ac:dyDescent="0.2">
      <c r="A73" s="1190">
        <v>8</v>
      </c>
      <c r="B73" s="1202" t="s">
        <v>986</v>
      </c>
      <c r="C73" s="1190" t="s">
        <v>846</v>
      </c>
      <c r="D73" s="1191">
        <f t="shared" si="0"/>
        <v>0</v>
      </c>
      <c r="F73" s="1171"/>
    </row>
    <row r="74" spans="1:19" hidden="1" x14ac:dyDescent="0.2">
      <c r="A74" s="1190">
        <v>9</v>
      </c>
      <c r="B74" s="1202" t="s">
        <v>987</v>
      </c>
      <c r="C74" s="1190" t="s">
        <v>846</v>
      </c>
      <c r="D74" s="1191">
        <f t="shared" si="0"/>
        <v>0</v>
      </c>
      <c r="F74" s="1171"/>
    </row>
    <row r="75" spans="1:19" hidden="1" x14ac:dyDescent="0.2">
      <c r="A75" s="1190">
        <v>10</v>
      </c>
      <c r="B75" s="1202" t="s">
        <v>988</v>
      </c>
      <c r="C75" s="1190" t="s">
        <v>846</v>
      </c>
      <c r="D75" s="1191">
        <f t="shared" si="0"/>
        <v>0</v>
      </c>
      <c r="F75" s="1171"/>
    </row>
    <row r="76" spans="1:19" hidden="1" x14ac:dyDescent="0.2">
      <c r="A76" s="1190">
        <v>11</v>
      </c>
      <c r="B76" s="1202" t="s">
        <v>989</v>
      </c>
      <c r="C76" s="1190" t="s">
        <v>846</v>
      </c>
      <c r="D76" s="1191">
        <f t="shared" si="0"/>
        <v>0</v>
      </c>
      <c r="F76" s="1171"/>
    </row>
    <row r="77" spans="1:19" hidden="1" x14ac:dyDescent="0.2">
      <c r="A77" s="1190">
        <v>12</v>
      </c>
      <c r="B77" s="1202" t="s">
        <v>990</v>
      </c>
      <c r="C77" s="1190" t="s">
        <v>846</v>
      </c>
      <c r="D77" s="1191">
        <f t="shared" si="0"/>
        <v>0</v>
      </c>
      <c r="F77" s="1171"/>
    </row>
    <row r="78" spans="1:19" hidden="1" x14ac:dyDescent="0.2">
      <c r="A78" s="1190">
        <v>13</v>
      </c>
      <c r="B78" s="1202" t="s">
        <v>991</v>
      </c>
      <c r="C78" s="1190" t="s">
        <v>992</v>
      </c>
      <c r="D78" s="1191">
        <f t="shared" si="0"/>
        <v>0</v>
      </c>
      <c r="F78" s="1171"/>
    </row>
    <row r="79" spans="1:19" hidden="1" x14ac:dyDescent="0.2">
      <c r="A79" s="1190">
        <v>14</v>
      </c>
      <c r="B79" s="1202" t="s">
        <v>993</v>
      </c>
      <c r="C79" s="1190" t="s">
        <v>846</v>
      </c>
      <c r="D79" s="1191">
        <f t="shared" si="0"/>
        <v>0</v>
      </c>
      <c r="F79" s="1171"/>
    </row>
    <row r="80" spans="1:19" hidden="1" x14ac:dyDescent="0.2">
      <c r="A80" s="1190">
        <v>15</v>
      </c>
      <c r="B80" s="1202" t="s">
        <v>994</v>
      </c>
      <c r="C80" s="1190" t="s">
        <v>846</v>
      </c>
      <c r="D80" s="1191">
        <f t="shared" si="0"/>
        <v>0</v>
      </c>
      <c r="F80" s="1171"/>
    </row>
    <row r="81" spans="1:6" ht="15" thickBot="1" x14ac:dyDescent="0.25">
      <c r="A81" s="1214"/>
      <c r="B81" s="1215"/>
      <c r="C81" s="1214"/>
      <c r="D81" s="1216"/>
      <c r="F81" s="1171"/>
    </row>
    <row r="82" spans="1:6" x14ac:dyDescent="0.2">
      <c r="A82" s="1217"/>
      <c r="B82" s="1218"/>
      <c r="C82" s="1218"/>
      <c r="D82" s="1219"/>
      <c r="F82" s="1171"/>
    </row>
    <row r="83" spans="1:6" x14ac:dyDescent="0.2">
      <c r="A83" s="1220"/>
      <c r="B83" s="1220"/>
      <c r="C83" s="1220"/>
      <c r="D83" s="1221"/>
      <c r="F83" s="1171"/>
    </row>
    <row r="84" spans="1:6" ht="15" x14ac:dyDescent="0.25">
      <c r="A84" s="1222"/>
      <c r="B84" s="1222"/>
      <c r="C84" s="1222"/>
      <c r="D84" s="1223"/>
      <c r="F84" s="1171"/>
    </row>
    <row r="85" spans="1:6" x14ac:dyDescent="0.2">
      <c r="A85" s="1164"/>
      <c r="B85" s="1164"/>
      <c r="D85" s="1224"/>
    </row>
    <row r="86" spans="1:6" x14ac:dyDescent="0.2">
      <c r="A86" s="1164"/>
      <c r="B86" s="1164"/>
      <c r="D86" s="1224"/>
    </row>
    <row r="87" spans="1:6" x14ac:dyDescent="0.2">
      <c r="A87" s="1164"/>
      <c r="B87" s="1164"/>
      <c r="D87" s="1224"/>
    </row>
    <row r="88" spans="1:6" x14ac:dyDescent="0.2">
      <c r="A88" s="1164"/>
      <c r="B88" s="1164"/>
      <c r="D88" s="1224"/>
    </row>
    <row r="89" spans="1:6" x14ac:dyDescent="0.2">
      <c r="A89" s="1164"/>
      <c r="B89" s="1164"/>
      <c r="D89" s="1224"/>
    </row>
    <row r="90" spans="1:6" x14ac:dyDescent="0.2">
      <c r="A90" s="1164"/>
      <c r="B90" s="1164"/>
      <c r="D90" s="1224"/>
    </row>
    <row r="91" spans="1:6" x14ac:dyDescent="0.2">
      <c r="A91" s="1164"/>
      <c r="B91" s="1164"/>
      <c r="D91" s="1224"/>
    </row>
    <row r="92" spans="1:6" x14ac:dyDescent="0.2">
      <c r="A92" s="1164"/>
      <c r="B92" s="1164"/>
      <c r="D92" s="1224"/>
    </row>
    <row r="93" spans="1:6" x14ac:dyDescent="0.2">
      <c r="A93" s="1164"/>
      <c r="B93" s="1164"/>
      <c r="D93" s="1224"/>
    </row>
    <row r="94" spans="1:6" x14ac:dyDescent="0.2">
      <c r="A94" s="1164"/>
      <c r="B94" s="1164"/>
      <c r="D94" s="1224"/>
    </row>
    <row r="95" spans="1:6" x14ac:dyDescent="0.2">
      <c r="A95" s="1164"/>
      <c r="B95" s="1164"/>
      <c r="D95" s="1224"/>
    </row>
    <row r="96" spans="1:6" x14ac:dyDescent="0.2">
      <c r="A96" s="1164"/>
      <c r="B96" s="1164"/>
      <c r="D96" s="1224"/>
    </row>
    <row r="97" spans="1:4" x14ac:dyDescent="0.2">
      <c r="A97" s="1164"/>
      <c r="B97" s="1164"/>
      <c r="D97" s="1224"/>
    </row>
    <row r="98" spans="1:4" x14ac:dyDescent="0.2">
      <c r="A98" s="1164"/>
      <c r="B98" s="1164"/>
      <c r="D98" s="1224"/>
    </row>
    <row r="99" spans="1:4" x14ac:dyDescent="0.2">
      <c r="A99" s="1164"/>
      <c r="B99" s="1164"/>
      <c r="D99" s="1224"/>
    </row>
    <row r="100" spans="1:4" x14ac:dyDescent="0.2">
      <c r="A100" s="1164"/>
      <c r="B100" s="1164"/>
      <c r="D100" s="1224"/>
    </row>
    <row r="101" spans="1:4" x14ac:dyDescent="0.2">
      <c r="A101" s="1164"/>
      <c r="B101" s="1164"/>
      <c r="D101" s="1224"/>
    </row>
    <row r="102" spans="1:4" x14ac:dyDescent="0.2">
      <c r="A102" s="1164"/>
      <c r="B102" s="1164"/>
      <c r="D102" s="1224"/>
    </row>
    <row r="103" spans="1:4" x14ac:dyDescent="0.2">
      <c r="A103" s="1164"/>
      <c r="B103" s="1164"/>
      <c r="D103" s="1224"/>
    </row>
    <row r="104" spans="1:4" x14ac:dyDescent="0.2">
      <c r="A104" s="1164"/>
      <c r="B104" s="1164"/>
      <c r="D104" s="1224"/>
    </row>
    <row r="105" spans="1:4" x14ac:dyDescent="0.2">
      <c r="A105" s="1164"/>
      <c r="B105" s="1164"/>
      <c r="D105" s="1224"/>
    </row>
    <row r="106" spans="1:4" x14ac:dyDescent="0.2">
      <c r="A106" s="1164"/>
      <c r="B106" s="1164"/>
      <c r="D106" s="1224"/>
    </row>
    <row r="107" spans="1:4" x14ac:dyDescent="0.2">
      <c r="A107" s="1164"/>
      <c r="B107" s="1164"/>
      <c r="D107" s="1224"/>
    </row>
    <row r="108" spans="1:4" x14ac:dyDescent="0.2">
      <c r="A108" s="1164"/>
      <c r="B108" s="1164"/>
      <c r="D108" s="1224"/>
    </row>
    <row r="109" spans="1:4" x14ac:dyDescent="0.2">
      <c r="A109" s="1164"/>
      <c r="B109" s="1164"/>
      <c r="D109" s="1224"/>
    </row>
    <row r="110" spans="1:4" x14ac:dyDescent="0.2">
      <c r="A110" s="1164"/>
      <c r="B110" s="1164"/>
      <c r="D110" s="1224"/>
    </row>
    <row r="111" spans="1:4" x14ac:dyDescent="0.2">
      <c r="A111" s="1164"/>
      <c r="B111" s="1164"/>
      <c r="D111" s="1224"/>
    </row>
    <row r="112" spans="1:4" x14ac:dyDescent="0.2">
      <c r="A112" s="1164"/>
      <c r="B112" s="1164"/>
      <c r="D112" s="1224"/>
    </row>
    <row r="113" spans="1:4" x14ac:dyDescent="0.2">
      <c r="A113" s="1164"/>
      <c r="B113" s="1164"/>
      <c r="D113" s="1224"/>
    </row>
    <row r="114" spans="1:4" x14ac:dyDescent="0.2">
      <c r="A114" s="1164"/>
      <c r="B114" s="1164"/>
      <c r="D114" s="1224"/>
    </row>
    <row r="115" spans="1:4" x14ac:dyDescent="0.2">
      <c r="A115" s="1164"/>
      <c r="B115" s="1164"/>
      <c r="D115" s="1224"/>
    </row>
    <row r="116" spans="1:4" x14ac:dyDescent="0.2">
      <c r="A116" s="1164"/>
      <c r="B116" s="1164"/>
      <c r="D116" s="1224"/>
    </row>
    <row r="117" spans="1:4" x14ac:dyDescent="0.2">
      <c r="A117" s="1164"/>
      <c r="B117" s="1164"/>
      <c r="D117" s="1224"/>
    </row>
    <row r="118" spans="1:4" x14ac:dyDescent="0.2">
      <c r="A118" s="1164"/>
      <c r="B118" s="1164"/>
      <c r="D118" s="1224"/>
    </row>
    <row r="119" spans="1:4" x14ac:dyDescent="0.2">
      <c r="A119" s="1164"/>
      <c r="B119" s="1164"/>
      <c r="D119" s="1224"/>
    </row>
    <row r="120" spans="1:4" x14ac:dyDescent="0.2">
      <c r="A120" s="1164"/>
      <c r="B120" s="1164"/>
      <c r="D120" s="1224"/>
    </row>
    <row r="121" spans="1:4" x14ac:dyDescent="0.2">
      <c r="A121" s="1164"/>
      <c r="B121" s="1164"/>
      <c r="D121" s="1224"/>
    </row>
    <row r="122" spans="1:4" x14ac:dyDescent="0.2">
      <c r="A122" s="1164"/>
      <c r="B122" s="1164"/>
      <c r="D122" s="1224"/>
    </row>
    <row r="123" spans="1:4" x14ac:dyDescent="0.2">
      <c r="A123" s="1164"/>
      <c r="B123" s="1164"/>
      <c r="D123" s="1224"/>
    </row>
    <row r="124" spans="1:4" x14ac:dyDescent="0.2">
      <c r="A124" s="1164"/>
      <c r="B124" s="1164"/>
      <c r="D124" s="1224"/>
    </row>
    <row r="125" spans="1:4" x14ac:dyDescent="0.2">
      <c r="A125" s="1164"/>
      <c r="B125" s="1164"/>
      <c r="D125" s="1224"/>
    </row>
    <row r="126" spans="1:4" x14ac:dyDescent="0.2">
      <c r="A126" s="1164"/>
      <c r="B126" s="1164"/>
      <c r="D126" s="1224"/>
    </row>
    <row r="127" spans="1:4" x14ac:dyDescent="0.2">
      <c r="A127" s="1164"/>
      <c r="B127" s="1164"/>
      <c r="D127" s="1224"/>
    </row>
    <row r="128" spans="1:4" x14ac:dyDescent="0.2">
      <c r="A128" s="1164"/>
      <c r="B128" s="1164"/>
      <c r="D128" s="1224"/>
    </row>
    <row r="129" spans="1:4" x14ac:dyDescent="0.2">
      <c r="A129" s="1164"/>
      <c r="B129" s="1164"/>
      <c r="D129" s="1224"/>
    </row>
    <row r="130" spans="1:4" x14ac:dyDescent="0.2">
      <c r="A130" s="1164"/>
      <c r="B130" s="1164"/>
      <c r="D130" s="1224"/>
    </row>
    <row r="131" spans="1:4" x14ac:dyDescent="0.2">
      <c r="A131" s="1164"/>
      <c r="B131" s="1164"/>
      <c r="D131" s="1224"/>
    </row>
    <row r="132" spans="1:4" x14ac:dyDescent="0.2">
      <c r="A132" s="1164"/>
      <c r="B132" s="1164"/>
      <c r="D132" s="1224"/>
    </row>
    <row r="133" spans="1:4" x14ac:dyDescent="0.2">
      <c r="A133" s="1164"/>
      <c r="B133" s="1164"/>
      <c r="D133" s="1224"/>
    </row>
    <row r="134" spans="1:4" x14ac:dyDescent="0.2">
      <c r="A134" s="1164"/>
      <c r="B134" s="1164"/>
      <c r="D134" s="1224"/>
    </row>
    <row r="135" spans="1:4" x14ac:dyDescent="0.2">
      <c r="A135" s="1164"/>
      <c r="B135" s="1164"/>
      <c r="D135" s="1224"/>
    </row>
    <row r="136" spans="1:4" x14ac:dyDescent="0.2">
      <c r="A136" s="1164"/>
      <c r="B136" s="1164"/>
      <c r="D136" s="1224"/>
    </row>
    <row r="137" spans="1:4" x14ac:dyDescent="0.2">
      <c r="A137" s="1164"/>
      <c r="B137" s="1164"/>
      <c r="D137" s="1224"/>
    </row>
    <row r="138" spans="1:4" x14ac:dyDescent="0.2">
      <c r="A138" s="1164"/>
      <c r="B138" s="1164"/>
      <c r="D138" s="1224"/>
    </row>
    <row r="139" spans="1:4" x14ac:dyDescent="0.2">
      <c r="A139" s="1164"/>
      <c r="B139" s="1164"/>
      <c r="D139" s="1224"/>
    </row>
    <row r="140" spans="1:4" x14ac:dyDescent="0.2">
      <c r="A140" s="1164"/>
      <c r="B140" s="1164"/>
      <c r="D140" s="1224"/>
    </row>
    <row r="141" spans="1:4" x14ac:dyDescent="0.2">
      <c r="A141" s="1164"/>
      <c r="B141" s="1164"/>
      <c r="D141" s="1224"/>
    </row>
    <row r="142" spans="1:4" x14ac:dyDescent="0.2">
      <c r="A142" s="1164"/>
      <c r="B142" s="1164"/>
      <c r="D142" s="1224"/>
    </row>
    <row r="143" spans="1:4" x14ac:dyDescent="0.2">
      <c r="A143" s="1164"/>
      <c r="B143" s="1164"/>
      <c r="D143" s="1224"/>
    </row>
    <row r="144" spans="1:4" x14ac:dyDescent="0.2">
      <c r="A144" s="1164"/>
      <c r="B144" s="1164"/>
      <c r="D144" s="1224"/>
    </row>
    <row r="145" spans="1:4" x14ac:dyDescent="0.2">
      <c r="A145" s="1164"/>
      <c r="B145" s="1164"/>
      <c r="D145" s="1224"/>
    </row>
    <row r="146" spans="1:4" x14ac:dyDescent="0.2">
      <c r="A146" s="1164"/>
      <c r="B146" s="1164"/>
      <c r="D146" s="1224"/>
    </row>
    <row r="147" spans="1:4" x14ac:dyDescent="0.2">
      <c r="A147" s="1164"/>
      <c r="B147" s="1164"/>
      <c r="D147" s="1224"/>
    </row>
    <row r="148" spans="1:4" x14ac:dyDescent="0.2">
      <c r="A148" s="1164"/>
      <c r="B148" s="1164"/>
      <c r="D148" s="1224"/>
    </row>
    <row r="149" spans="1:4" x14ac:dyDescent="0.2">
      <c r="A149" s="1164"/>
      <c r="B149" s="1164"/>
      <c r="D149" s="1224"/>
    </row>
    <row r="150" spans="1:4" x14ac:dyDescent="0.2">
      <c r="A150" s="1164"/>
      <c r="B150" s="1164"/>
      <c r="D150" s="1224"/>
    </row>
    <row r="151" spans="1:4" x14ac:dyDescent="0.2">
      <c r="A151" s="1164"/>
      <c r="B151" s="1164"/>
      <c r="D151" s="1224"/>
    </row>
    <row r="152" spans="1:4" x14ac:dyDescent="0.2">
      <c r="A152" s="1164"/>
      <c r="B152" s="1164"/>
      <c r="D152" s="1224"/>
    </row>
    <row r="153" spans="1:4" x14ac:dyDescent="0.2">
      <c r="A153" s="1164"/>
      <c r="B153" s="1164"/>
      <c r="D153" s="1224"/>
    </row>
    <row r="154" spans="1:4" x14ac:dyDescent="0.2">
      <c r="A154" s="1164"/>
      <c r="B154" s="1164"/>
      <c r="D154" s="1224"/>
    </row>
    <row r="155" spans="1:4" x14ac:dyDescent="0.2">
      <c r="A155" s="1164"/>
      <c r="B155" s="1164"/>
      <c r="D155" s="1224"/>
    </row>
    <row r="156" spans="1:4" x14ac:dyDescent="0.2">
      <c r="A156" s="1164"/>
      <c r="B156" s="1164"/>
      <c r="D156" s="1224"/>
    </row>
    <row r="157" spans="1:4" x14ac:dyDescent="0.2">
      <c r="A157" s="1164"/>
      <c r="B157" s="1164"/>
      <c r="D157" s="1224"/>
    </row>
    <row r="158" spans="1:4" x14ac:dyDescent="0.2">
      <c r="A158" s="1164"/>
      <c r="B158" s="1164"/>
      <c r="D158" s="1224"/>
    </row>
    <row r="159" spans="1:4" x14ac:dyDescent="0.2">
      <c r="A159" s="1164"/>
      <c r="B159" s="1164"/>
      <c r="D159" s="1224"/>
    </row>
    <row r="160" spans="1:4" x14ac:dyDescent="0.2">
      <c r="A160" s="1164"/>
      <c r="B160" s="1164"/>
      <c r="D160" s="1224"/>
    </row>
    <row r="161" spans="1:4" x14ac:dyDescent="0.2">
      <c r="A161" s="1164"/>
      <c r="B161" s="1164"/>
      <c r="D161" s="1224"/>
    </row>
    <row r="162" spans="1:4" x14ac:dyDescent="0.2">
      <c r="A162" s="1164"/>
      <c r="B162" s="1164"/>
      <c r="D162" s="1224"/>
    </row>
    <row r="163" spans="1:4" x14ac:dyDescent="0.2">
      <c r="A163" s="1164"/>
      <c r="B163" s="1164"/>
      <c r="D163" s="1224"/>
    </row>
    <row r="164" spans="1:4" x14ac:dyDescent="0.2">
      <c r="A164" s="1164"/>
      <c r="B164" s="1164"/>
      <c r="D164" s="1224"/>
    </row>
    <row r="165" spans="1:4" x14ac:dyDescent="0.2">
      <c r="A165" s="1164"/>
      <c r="B165" s="1164"/>
      <c r="D165" s="1224"/>
    </row>
    <row r="166" spans="1:4" x14ac:dyDescent="0.2">
      <c r="A166" s="1164"/>
      <c r="B166" s="1164"/>
      <c r="D166" s="1224"/>
    </row>
    <row r="167" spans="1:4" x14ac:dyDescent="0.2">
      <c r="A167" s="1164"/>
      <c r="B167" s="1164"/>
      <c r="D167" s="1224"/>
    </row>
    <row r="168" spans="1:4" x14ac:dyDescent="0.2">
      <c r="A168" s="1164"/>
      <c r="B168" s="1164"/>
      <c r="D168" s="1224"/>
    </row>
    <row r="169" spans="1:4" x14ac:dyDescent="0.2">
      <c r="A169" s="1164"/>
      <c r="B169" s="1164"/>
      <c r="D169" s="1224"/>
    </row>
    <row r="170" spans="1:4" x14ac:dyDescent="0.2">
      <c r="A170" s="1164"/>
      <c r="B170" s="1164"/>
      <c r="D170" s="1224"/>
    </row>
    <row r="171" spans="1:4" x14ac:dyDescent="0.2">
      <c r="A171" s="1164"/>
      <c r="B171" s="1164"/>
      <c r="D171" s="1224"/>
    </row>
    <row r="172" spans="1:4" x14ac:dyDescent="0.2">
      <c r="A172" s="1164"/>
      <c r="B172" s="1164"/>
      <c r="D172" s="1224"/>
    </row>
    <row r="173" spans="1:4" x14ac:dyDescent="0.2">
      <c r="A173" s="1164"/>
      <c r="B173" s="1164"/>
      <c r="D173" s="1224"/>
    </row>
    <row r="174" spans="1:4" x14ac:dyDescent="0.2">
      <c r="A174" s="1164"/>
      <c r="B174" s="1164"/>
      <c r="D174" s="1224"/>
    </row>
    <row r="175" spans="1:4" x14ac:dyDescent="0.2">
      <c r="A175" s="1164"/>
      <c r="B175" s="1164"/>
      <c r="D175" s="1224"/>
    </row>
    <row r="176" spans="1:4" x14ac:dyDescent="0.2">
      <c r="A176" s="1164"/>
      <c r="B176" s="1164"/>
      <c r="D176" s="1224"/>
    </row>
    <row r="177" spans="1:4" x14ac:dyDescent="0.2">
      <c r="A177" s="1164"/>
      <c r="B177" s="1164"/>
      <c r="D177" s="1224"/>
    </row>
    <row r="178" spans="1:4" x14ac:dyDescent="0.2">
      <c r="A178" s="1164"/>
      <c r="B178" s="1164"/>
      <c r="D178" s="1224"/>
    </row>
    <row r="179" spans="1:4" x14ac:dyDescent="0.2">
      <c r="A179" s="1164"/>
      <c r="B179" s="1164"/>
      <c r="D179" s="1224"/>
    </row>
    <row r="180" spans="1:4" x14ac:dyDescent="0.2">
      <c r="A180" s="1164"/>
      <c r="B180" s="1164"/>
      <c r="D180" s="1224"/>
    </row>
    <row r="181" spans="1:4" x14ac:dyDescent="0.2">
      <c r="A181" s="1164"/>
      <c r="B181" s="1164"/>
      <c r="D181" s="1224"/>
    </row>
    <row r="182" spans="1:4" x14ac:dyDescent="0.2">
      <c r="A182" s="1164"/>
      <c r="B182" s="1164"/>
      <c r="D182" s="1224"/>
    </row>
    <row r="183" spans="1:4" x14ac:dyDescent="0.2">
      <c r="A183" s="1164"/>
      <c r="B183" s="1164"/>
      <c r="D183" s="1224"/>
    </row>
    <row r="184" spans="1:4" x14ac:dyDescent="0.2">
      <c r="A184" s="1164"/>
      <c r="B184" s="1164"/>
      <c r="D184" s="1224"/>
    </row>
    <row r="185" spans="1:4" x14ac:dyDescent="0.2">
      <c r="A185" s="1164"/>
      <c r="B185" s="1164"/>
      <c r="D185" s="1224"/>
    </row>
    <row r="186" spans="1:4" x14ac:dyDescent="0.2">
      <c r="A186" s="1164"/>
      <c r="B186" s="1164"/>
      <c r="D186" s="1224"/>
    </row>
    <row r="187" spans="1:4" x14ac:dyDescent="0.2">
      <c r="A187" s="1164"/>
      <c r="B187" s="1164"/>
      <c r="D187" s="1224"/>
    </row>
    <row r="188" spans="1:4" x14ac:dyDescent="0.2">
      <c r="A188" s="1164"/>
      <c r="B188" s="1164"/>
      <c r="D188" s="1224"/>
    </row>
    <row r="189" spans="1:4" x14ac:dyDescent="0.2">
      <c r="A189" s="1164"/>
      <c r="B189" s="1164"/>
      <c r="D189" s="1224"/>
    </row>
    <row r="190" spans="1:4" x14ac:dyDescent="0.2">
      <c r="A190" s="1164"/>
      <c r="B190" s="1164"/>
      <c r="D190" s="1224"/>
    </row>
    <row r="191" spans="1:4" x14ac:dyDescent="0.2">
      <c r="A191" s="1164"/>
      <c r="B191" s="1164"/>
      <c r="D191" s="1224"/>
    </row>
    <row r="192" spans="1:4" x14ac:dyDescent="0.2">
      <c r="A192" s="1164"/>
      <c r="B192" s="1164"/>
      <c r="D192" s="1224"/>
    </row>
    <row r="193" spans="1:4" x14ac:dyDescent="0.2">
      <c r="A193" s="1164"/>
      <c r="B193" s="1164"/>
      <c r="D193" s="1224"/>
    </row>
    <row r="194" spans="1:4" x14ac:dyDescent="0.2">
      <c r="A194" s="1164"/>
      <c r="B194" s="1164"/>
      <c r="D194" s="1224"/>
    </row>
    <row r="195" spans="1:4" x14ac:dyDescent="0.2">
      <c r="A195" s="1164"/>
      <c r="B195" s="1164"/>
      <c r="D195" s="1224"/>
    </row>
    <row r="196" spans="1:4" x14ac:dyDescent="0.2">
      <c r="A196" s="1164"/>
      <c r="B196" s="1164"/>
      <c r="D196" s="1224"/>
    </row>
    <row r="197" spans="1:4" x14ac:dyDescent="0.2">
      <c r="A197" s="1164"/>
      <c r="B197" s="1164"/>
      <c r="D197" s="1224"/>
    </row>
    <row r="198" spans="1:4" x14ac:dyDescent="0.2">
      <c r="A198" s="1164"/>
      <c r="B198" s="1164"/>
      <c r="D198" s="1224"/>
    </row>
    <row r="199" spans="1:4" x14ac:dyDescent="0.2">
      <c r="A199" s="1164"/>
      <c r="B199" s="1164"/>
      <c r="D199" s="1224"/>
    </row>
    <row r="200" spans="1:4" x14ac:dyDescent="0.2">
      <c r="A200" s="1164"/>
      <c r="B200" s="1164"/>
      <c r="D200" s="1224"/>
    </row>
    <row r="201" spans="1:4" x14ac:dyDescent="0.2">
      <c r="A201" s="1164"/>
      <c r="B201" s="1164"/>
      <c r="D201" s="1224"/>
    </row>
    <row r="202" spans="1:4" x14ac:dyDescent="0.2">
      <c r="A202" s="1164"/>
      <c r="B202" s="1164"/>
      <c r="D202" s="1224"/>
    </row>
    <row r="203" spans="1:4" x14ac:dyDescent="0.2">
      <c r="A203" s="1164"/>
      <c r="B203" s="1164"/>
      <c r="D203" s="1224"/>
    </row>
    <row r="204" spans="1:4" x14ac:dyDescent="0.2">
      <c r="A204" s="1164"/>
      <c r="B204" s="1164"/>
      <c r="D204" s="1224"/>
    </row>
    <row r="205" spans="1:4" x14ac:dyDescent="0.2">
      <c r="A205" s="1164"/>
      <c r="B205" s="1164"/>
      <c r="D205" s="1224"/>
    </row>
    <row r="206" spans="1:4" x14ac:dyDescent="0.2">
      <c r="A206" s="1164"/>
      <c r="B206" s="1164"/>
      <c r="D206" s="1224"/>
    </row>
    <row r="207" spans="1:4" x14ac:dyDescent="0.2">
      <c r="A207" s="1164"/>
      <c r="B207" s="1164"/>
      <c r="D207" s="1224"/>
    </row>
    <row r="208" spans="1:4" x14ac:dyDescent="0.2">
      <c r="A208" s="1164"/>
      <c r="B208" s="1164"/>
      <c r="D208" s="1224"/>
    </row>
    <row r="209" spans="1:4" x14ac:dyDescent="0.2">
      <c r="A209" s="1164"/>
      <c r="B209" s="1164"/>
      <c r="D209" s="1224"/>
    </row>
    <row r="210" spans="1:4" x14ac:dyDescent="0.2">
      <c r="A210" s="1164"/>
      <c r="B210" s="1164"/>
      <c r="D210" s="1224"/>
    </row>
    <row r="211" spans="1:4" x14ac:dyDescent="0.2">
      <c r="A211" s="1164"/>
      <c r="B211" s="1164"/>
      <c r="D211" s="1224"/>
    </row>
    <row r="212" spans="1:4" x14ac:dyDescent="0.2">
      <c r="A212" s="1164"/>
      <c r="B212" s="1164"/>
      <c r="D212" s="1224"/>
    </row>
    <row r="213" spans="1:4" x14ac:dyDescent="0.2">
      <c r="A213" s="1164"/>
      <c r="B213" s="1164"/>
      <c r="D213" s="1224"/>
    </row>
    <row r="214" spans="1:4" x14ac:dyDescent="0.2">
      <c r="A214" s="1164"/>
      <c r="B214" s="1164"/>
      <c r="D214" s="1224"/>
    </row>
    <row r="215" spans="1:4" x14ac:dyDescent="0.2">
      <c r="A215" s="1164"/>
      <c r="B215" s="1164"/>
      <c r="D215" s="1224"/>
    </row>
    <row r="216" spans="1:4" x14ac:dyDescent="0.2">
      <c r="A216" s="1164"/>
      <c r="B216" s="1164"/>
      <c r="D216" s="1224"/>
    </row>
    <row r="217" spans="1:4" x14ac:dyDescent="0.2">
      <c r="A217" s="1164"/>
      <c r="B217" s="1164"/>
      <c r="D217" s="1224"/>
    </row>
    <row r="218" spans="1:4" x14ac:dyDescent="0.2">
      <c r="A218" s="1164"/>
      <c r="B218" s="1164"/>
      <c r="D218" s="1224"/>
    </row>
    <row r="219" spans="1:4" x14ac:dyDescent="0.2">
      <c r="A219" s="1164"/>
      <c r="B219" s="1164"/>
      <c r="D219" s="1224"/>
    </row>
    <row r="220" spans="1:4" x14ac:dyDescent="0.2">
      <c r="A220" s="1164"/>
      <c r="B220" s="1164"/>
      <c r="D220" s="1224"/>
    </row>
    <row r="221" spans="1:4" x14ac:dyDescent="0.2">
      <c r="A221" s="1164"/>
      <c r="B221" s="1164"/>
      <c r="D221" s="1224"/>
    </row>
    <row r="222" spans="1:4" x14ac:dyDescent="0.2">
      <c r="A222" s="1164"/>
      <c r="B222" s="1164"/>
      <c r="D222" s="1224"/>
    </row>
    <row r="223" spans="1:4" x14ac:dyDescent="0.2">
      <c r="A223" s="1164"/>
      <c r="B223" s="1164"/>
      <c r="D223" s="1224"/>
    </row>
    <row r="224" spans="1:4" x14ac:dyDescent="0.2">
      <c r="A224" s="1164"/>
      <c r="B224" s="1164"/>
      <c r="D224" s="1224"/>
    </row>
    <row r="225" spans="1:4" x14ac:dyDescent="0.2">
      <c r="A225" s="1164"/>
      <c r="B225" s="1164"/>
      <c r="D225" s="1224"/>
    </row>
    <row r="226" spans="1:4" x14ac:dyDescent="0.2">
      <c r="A226" s="1164"/>
      <c r="B226" s="1164"/>
      <c r="D226" s="1224"/>
    </row>
    <row r="227" spans="1:4" x14ac:dyDescent="0.2">
      <c r="A227" s="1164"/>
      <c r="B227" s="1164"/>
      <c r="D227" s="1224"/>
    </row>
    <row r="228" spans="1:4" x14ac:dyDescent="0.2">
      <c r="A228" s="1164"/>
      <c r="B228" s="1164"/>
      <c r="D228" s="1224"/>
    </row>
    <row r="229" spans="1:4" x14ac:dyDescent="0.2">
      <c r="A229" s="1164"/>
      <c r="B229" s="1164"/>
      <c r="D229" s="1224"/>
    </row>
    <row r="230" spans="1:4" x14ac:dyDescent="0.2">
      <c r="A230" s="1164"/>
      <c r="B230" s="1164"/>
      <c r="D230" s="1224"/>
    </row>
    <row r="231" spans="1:4" x14ac:dyDescent="0.2">
      <c r="A231" s="1164"/>
      <c r="B231" s="1164"/>
      <c r="D231" s="1224"/>
    </row>
    <row r="232" spans="1:4" x14ac:dyDescent="0.2">
      <c r="A232" s="1164"/>
      <c r="B232" s="1164"/>
      <c r="D232" s="1224"/>
    </row>
    <row r="233" spans="1:4" x14ac:dyDescent="0.2">
      <c r="A233" s="1164"/>
      <c r="B233" s="1164"/>
      <c r="D233" s="1224"/>
    </row>
    <row r="234" spans="1:4" x14ac:dyDescent="0.2">
      <c r="A234" s="1164"/>
      <c r="B234" s="1164"/>
      <c r="D234" s="1224"/>
    </row>
    <row r="235" spans="1:4" x14ac:dyDescent="0.2">
      <c r="A235" s="1164"/>
      <c r="B235" s="1164"/>
      <c r="D235" s="1224"/>
    </row>
    <row r="236" spans="1:4" x14ac:dyDescent="0.2">
      <c r="A236" s="1164"/>
      <c r="B236" s="1164"/>
      <c r="D236" s="1224"/>
    </row>
    <row r="237" spans="1:4" x14ac:dyDescent="0.2">
      <c r="A237" s="1164"/>
      <c r="B237" s="1164"/>
      <c r="D237" s="1224"/>
    </row>
    <row r="238" spans="1:4" x14ac:dyDescent="0.2">
      <c r="A238" s="1164"/>
      <c r="B238" s="1164"/>
      <c r="D238" s="1224"/>
    </row>
    <row r="239" spans="1:4" x14ac:dyDescent="0.2">
      <c r="A239" s="1164"/>
      <c r="B239" s="1164"/>
      <c r="D239" s="1224"/>
    </row>
    <row r="240" spans="1:4" x14ac:dyDescent="0.2">
      <c r="A240" s="1164"/>
      <c r="B240" s="1164"/>
      <c r="D240" s="1224"/>
    </row>
    <row r="241" spans="1:4" x14ac:dyDescent="0.2">
      <c r="A241" s="1164"/>
      <c r="B241" s="1164"/>
      <c r="D241" s="1224"/>
    </row>
    <row r="242" spans="1:4" x14ac:dyDescent="0.2">
      <c r="A242" s="1164"/>
      <c r="B242" s="1164"/>
      <c r="D242" s="1224"/>
    </row>
    <row r="243" spans="1:4" x14ac:dyDescent="0.2">
      <c r="A243" s="1164"/>
      <c r="B243" s="1164"/>
      <c r="D243" s="1224"/>
    </row>
    <row r="244" spans="1:4" x14ac:dyDescent="0.2">
      <c r="A244" s="1164"/>
      <c r="B244" s="1164"/>
      <c r="D244" s="1224"/>
    </row>
    <row r="245" spans="1:4" x14ac:dyDescent="0.2">
      <c r="A245" s="1164"/>
      <c r="B245" s="1164"/>
      <c r="D245" s="1224"/>
    </row>
    <row r="246" spans="1:4" x14ac:dyDescent="0.2">
      <c r="A246" s="1164"/>
      <c r="B246" s="1164"/>
      <c r="D246" s="1224"/>
    </row>
    <row r="247" spans="1:4" x14ac:dyDescent="0.2">
      <c r="A247" s="1164"/>
      <c r="B247" s="1164"/>
      <c r="D247" s="1224"/>
    </row>
    <row r="248" spans="1:4" x14ac:dyDescent="0.2">
      <c r="A248" s="1164"/>
      <c r="B248" s="1164"/>
      <c r="D248" s="1224"/>
    </row>
    <row r="249" spans="1:4" x14ac:dyDescent="0.2">
      <c r="A249" s="1164"/>
      <c r="B249" s="1164"/>
      <c r="D249" s="1224"/>
    </row>
    <row r="250" spans="1:4" x14ac:dyDescent="0.2">
      <c r="A250" s="1164"/>
      <c r="B250" s="1164"/>
      <c r="D250" s="1224"/>
    </row>
    <row r="251" spans="1:4" x14ac:dyDescent="0.2">
      <c r="A251" s="1164"/>
      <c r="B251" s="1164"/>
      <c r="D251" s="1224"/>
    </row>
    <row r="252" spans="1:4" x14ac:dyDescent="0.2">
      <c r="A252" s="1164"/>
      <c r="B252" s="1164"/>
      <c r="D252" s="1224"/>
    </row>
    <row r="253" spans="1:4" x14ac:dyDescent="0.2">
      <c r="A253" s="1164"/>
      <c r="B253" s="1164"/>
      <c r="D253" s="1224"/>
    </row>
    <row r="254" spans="1:4" x14ac:dyDescent="0.2">
      <c r="A254" s="1164"/>
      <c r="B254" s="1164"/>
      <c r="D254" s="1224"/>
    </row>
    <row r="255" spans="1:4" x14ac:dyDescent="0.2">
      <c r="A255" s="1164"/>
      <c r="B255" s="1164"/>
      <c r="D255" s="1224"/>
    </row>
    <row r="256" spans="1:4" x14ac:dyDescent="0.2">
      <c r="A256" s="1164"/>
      <c r="B256" s="1164"/>
      <c r="D256" s="1224"/>
    </row>
    <row r="257" spans="1:4" x14ac:dyDescent="0.2">
      <c r="A257" s="1164"/>
      <c r="B257" s="1164"/>
      <c r="D257" s="1224"/>
    </row>
    <row r="258" spans="1:4" x14ac:dyDescent="0.2">
      <c r="A258" s="1164"/>
      <c r="B258" s="1164"/>
      <c r="D258" s="1224"/>
    </row>
    <row r="259" spans="1:4" x14ac:dyDescent="0.2">
      <c r="A259" s="1164"/>
      <c r="B259" s="1164"/>
      <c r="D259" s="1224"/>
    </row>
    <row r="260" spans="1:4" x14ac:dyDescent="0.2">
      <c r="A260" s="1164"/>
      <c r="B260" s="1164"/>
      <c r="D260" s="1224"/>
    </row>
    <row r="261" spans="1:4" x14ac:dyDescent="0.2">
      <c r="A261" s="1164"/>
      <c r="B261" s="1164"/>
      <c r="D261" s="1224"/>
    </row>
    <row r="262" spans="1:4" x14ac:dyDescent="0.2">
      <c r="A262" s="1164"/>
      <c r="B262" s="1164"/>
      <c r="D262" s="1224"/>
    </row>
    <row r="263" spans="1:4" x14ac:dyDescent="0.2">
      <c r="A263" s="1164"/>
      <c r="B263" s="1164"/>
      <c r="D263" s="1224"/>
    </row>
    <row r="264" spans="1:4" x14ac:dyDescent="0.2">
      <c r="A264" s="1164"/>
      <c r="B264" s="1164"/>
      <c r="D264" s="1224"/>
    </row>
    <row r="265" spans="1:4" x14ac:dyDescent="0.2">
      <c r="A265" s="1164"/>
      <c r="B265" s="1164"/>
      <c r="D265" s="1224"/>
    </row>
    <row r="266" spans="1:4" x14ac:dyDescent="0.2">
      <c r="A266" s="1164"/>
      <c r="B266" s="1164"/>
      <c r="D266" s="1224"/>
    </row>
    <row r="267" spans="1:4" x14ac:dyDescent="0.2">
      <c r="A267" s="1164"/>
      <c r="B267" s="1164"/>
      <c r="D267" s="1224"/>
    </row>
    <row r="268" spans="1:4" x14ac:dyDescent="0.2">
      <c r="A268" s="1164"/>
      <c r="B268" s="1164"/>
      <c r="D268" s="1224"/>
    </row>
    <row r="269" spans="1:4" x14ac:dyDescent="0.2">
      <c r="A269" s="1164"/>
      <c r="B269" s="1164"/>
      <c r="D269" s="1224"/>
    </row>
    <row r="270" spans="1:4" x14ac:dyDescent="0.2">
      <c r="A270" s="1164"/>
      <c r="B270" s="1164"/>
      <c r="D270" s="1224"/>
    </row>
    <row r="271" spans="1:4" x14ac:dyDescent="0.2">
      <c r="A271" s="1164"/>
      <c r="B271" s="1164"/>
      <c r="D271" s="1224"/>
    </row>
    <row r="272" spans="1:4" x14ac:dyDescent="0.2">
      <c r="A272" s="1164"/>
      <c r="B272" s="1164"/>
      <c r="D272" s="1224"/>
    </row>
    <row r="273" spans="1:4" x14ac:dyDescent="0.2">
      <c r="A273" s="1164"/>
      <c r="B273" s="1164"/>
      <c r="D273" s="1224"/>
    </row>
    <row r="274" spans="1:4" x14ac:dyDescent="0.2">
      <c r="A274" s="1164"/>
      <c r="B274" s="1164"/>
      <c r="D274" s="1224"/>
    </row>
    <row r="275" spans="1:4" x14ac:dyDescent="0.2">
      <c r="A275" s="1164"/>
      <c r="B275" s="1164"/>
      <c r="D275" s="1224"/>
    </row>
    <row r="276" spans="1:4" x14ac:dyDescent="0.2">
      <c r="A276" s="1164"/>
      <c r="B276" s="1164"/>
      <c r="D276" s="1224"/>
    </row>
    <row r="277" spans="1:4" x14ac:dyDescent="0.2">
      <c r="A277" s="1164"/>
      <c r="B277" s="1164"/>
      <c r="D277" s="1224"/>
    </row>
    <row r="278" spans="1:4" x14ac:dyDescent="0.2">
      <c r="A278" s="1164"/>
      <c r="B278" s="1164"/>
      <c r="D278" s="1224"/>
    </row>
    <row r="279" spans="1:4" x14ac:dyDescent="0.2">
      <c r="A279" s="1164"/>
      <c r="B279" s="1164"/>
      <c r="D279" s="1224"/>
    </row>
    <row r="280" spans="1:4" x14ac:dyDescent="0.2">
      <c r="A280" s="1164"/>
      <c r="B280" s="1164"/>
      <c r="D280" s="1224"/>
    </row>
    <row r="281" spans="1:4" x14ac:dyDescent="0.2">
      <c r="A281" s="1164"/>
      <c r="B281" s="1164"/>
      <c r="D281" s="1224"/>
    </row>
    <row r="282" spans="1:4" x14ac:dyDescent="0.2">
      <c r="A282" s="1164"/>
      <c r="B282" s="1164"/>
      <c r="D282" s="1224"/>
    </row>
    <row r="283" spans="1:4" x14ac:dyDescent="0.2">
      <c r="A283" s="1164"/>
      <c r="B283" s="1164"/>
      <c r="D283" s="1224"/>
    </row>
    <row r="284" spans="1:4" x14ac:dyDescent="0.2">
      <c r="A284" s="1164"/>
      <c r="B284" s="1164"/>
      <c r="D284" s="1224"/>
    </row>
    <row r="285" spans="1:4" x14ac:dyDescent="0.2">
      <c r="A285" s="1164"/>
      <c r="B285" s="1164"/>
      <c r="D285" s="1224"/>
    </row>
    <row r="286" spans="1:4" x14ac:dyDescent="0.2">
      <c r="A286" s="1164"/>
      <c r="B286" s="1164"/>
      <c r="D286" s="1224"/>
    </row>
    <row r="287" spans="1:4" x14ac:dyDescent="0.2">
      <c r="A287" s="1164"/>
      <c r="B287" s="1164"/>
      <c r="D287" s="1224"/>
    </row>
    <row r="288" spans="1:4" x14ac:dyDescent="0.2">
      <c r="A288" s="1164"/>
      <c r="B288" s="1164"/>
      <c r="D288" s="1224"/>
    </row>
    <row r="289" spans="1:4" x14ac:dyDescent="0.2">
      <c r="A289" s="1164"/>
      <c r="B289" s="1164"/>
      <c r="D289" s="1224"/>
    </row>
    <row r="290" spans="1:4" x14ac:dyDescent="0.2">
      <c r="A290" s="1164"/>
      <c r="B290" s="1164"/>
      <c r="D290" s="1224"/>
    </row>
    <row r="291" spans="1:4" x14ac:dyDescent="0.2">
      <c r="A291" s="1164"/>
      <c r="B291" s="1164"/>
      <c r="D291" s="1224"/>
    </row>
    <row r="292" spans="1:4" x14ac:dyDescent="0.2">
      <c r="A292" s="1164"/>
      <c r="B292" s="1164"/>
      <c r="D292" s="1224"/>
    </row>
    <row r="293" spans="1:4" x14ac:dyDescent="0.2">
      <c r="A293" s="1164"/>
      <c r="B293" s="1164"/>
      <c r="D293" s="1224"/>
    </row>
    <row r="294" spans="1:4" x14ac:dyDescent="0.2">
      <c r="A294" s="1164"/>
      <c r="B294" s="1164"/>
      <c r="D294" s="1224"/>
    </row>
    <row r="295" spans="1:4" x14ac:dyDescent="0.2">
      <c r="A295" s="1164"/>
      <c r="B295" s="1164"/>
      <c r="D295" s="1224"/>
    </row>
    <row r="296" spans="1:4" x14ac:dyDescent="0.2">
      <c r="A296" s="1164"/>
      <c r="B296" s="1164"/>
      <c r="D296" s="1224"/>
    </row>
    <row r="297" spans="1:4" x14ac:dyDescent="0.2">
      <c r="A297" s="1164"/>
      <c r="B297" s="1164"/>
      <c r="D297" s="1224"/>
    </row>
    <row r="298" spans="1:4" x14ac:dyDescent="0.2">
      <c r="A298" s="1164"/>
      <c r="B298" s="1164"/>
      <c r="D298" s="1224"/>
    </row>
    <row r="299" spans="1:4" x14ac:dyDescent="0.2">
      <c r="A299" s="1164"/>
      <c r="B299" s="1164"/>
      <c r="D299" s="1224"/>
    </row>
    <row r="300" spans="1:4" x14ac:dyDescent="0.2">
      <c r="A300" s="1164"/>
      <c r="B300" s="1164"/>
      <c r="D300" s="1224"/>
    </row>
    <row r="301" spans="1:4" x14ac:dyDescent="0.2">
      <c r="A301" s="1164"/>
      <c r="B301" s="1164"/>
      <c r="D301" s="1224"/>
    </row>
    <row r="302" spans="1:4" x14ac:dyDescent="0.2">
      <c r="A302" s="1164"/>
      <c r="B302" s="1164"/>
      <c r="D302" s="1224"/>
    </row>
    <row r="303" spans="1:4" x14ac:dyDescent="0.2">
      <c r="A303" s="1164"/>
      <c r="B303" s="1164"/>
      <c r="D303" s="1224"/>
    </row>
    <row r="304" spans="1:4" x14ac:dyDescent="0.2">
      <c r="A304" s="1164"/>
      <c r="B304" s="1164"/>
      <c r="D304" s="1224"/>
    </row>
    <row r="305" spans="1:4" x14ac:dyDescent="0.2">
      <c r="A305" s="1164"/>
      <c r="B305" s="1164"/>
      <c r="D305" s="1224"/>
    </row>
    <row r="306" spans="1:4" x14ac:dyDescent="0.2">
      <c r="A306" s="1164"/>
      <c r="B306" s="1164"/>
      <c r="D306" s="1224"/>
    </row>
    <row r="307" spans="1:4" x14ac:dyDescent="0.2">
      <c r="A307" s="1164"/>
      <c r="B307" s="1164"/>
      <c r="D307" s="1224"/>
    </row>
    <row r="308" spans="1:4" x14ac:dyDescent="0.2">
      <c r="A308" s="1164"/>
      <c r="B308" s="1164"/>
      <c r="D308" s="1224"/>
    </row>
    <row r="309" spans="1:4" x14ac:dyDescent="0.2">
      <c r="A309" s="1164"/>
      <c r="B309" s="1164"/>
      <c r="D309" s="1224"/>
    </row>
    <row r="310" spans="1:4" x14ac:dyDescent="0.2">
      <c r="A310" s="1164"/>
      <c r="B310" s="1164"/>
      <c r="D310" s="1224"/>
    </row>
    <row r="311" spans="1:4" x14ac:dyDescent="0.2">
      <c r="A311" s="1164"/>
      <c r="B311" s="1164"/>
      <c r="D311" s="1224"/>
    </row>
    <row r="312" spans="1:4" x14ac:dyDescent="0.2">
      <c r="A312" s="1164"/>
      <c r="B312" s="1164"/>
      <c r="D312" s="1224"/>
    </row>
    <row r="313" spans="1:4" x14ac:dyDescent="0.2">
      <c r="A313" s="1164"/>
      <c r="B313" s="1164"/>
      <c r="D313" s="1224"/>
    </row>
    <row r="314" spans="1:4" x14ac:dyDescent="0.2">
      <c r="A314" s="1164"/>
      <c r="B314" s="1164"/>
      <c r="D314" s="1224"/>
    </row>
    <row r="315" spans="1:4" x14ac:dyDescent="0.2">
      <c r="A315" s="1164"/>
      <c r="B315" s="1164"/>
      <c r="D315" s="1224"/>
    </row>
    <row r="316" spans="1:4" x14ac:dyDescent="0.2">
      <c r="A316" s="1164"/>
      <c r="B316" s="1164"/>
      <c r="D316" s="1224"/>
    </row>
    <row r="317" spans="1:4" x14ac:dyDescent="0.2">
      <c r="A317" s="1164"/>
      <c r="B317" s="1164"/>
      <c r="D317" s="1224"/>
    </row>
    <row r="318" spans="1:4" x14ac:dyDescent="0.2">
      <c r="A318" s="1164"/>
      <c r="B318" s="1164"/>
      <c r="D318" s="1224"/>
    </row>
    <row r="319" spans="1:4" x14ac:dyDescent="0.2">
      <c r="A319" s="1164"/>
      <c r="B319" s="1164"/>
      <c r="D319" s="1224"/>
    </row>
    <row r="320" spans="1:4" x14ac:dyDescent="0.2">
      <c r="A320" s="1164"/>
      <c r="B320" s="1164"/>
      <c r="D320" s="1224"/>
    </row>
    <row r="321" spans="1:4" x14ac:dyDescent="0.2">
      <c r="A321" s="1164"/>
      <c r="B321" s="1164"/>
      <c r="D321" s="1224"/>
    </row>
    <row r="322" spans="1:4" x14ac:dyDescent="0.2">
      <c r="A322" s="1164"/>
      <c r="B322" s="1164"/>
      <c r="D322" s="1224"/>
    </row>
    <row r="323" spans="1:4" x14ac:dyDescent="0.2">
      <c r="A323" s="1164"/>
      <c r="B323" s="1164"/>
      <c r="D323" s="1224"/>
    </row>
    <row r="324" spans="1:4" x14ac:dyDescent="0.2">
      <c r="A324" s="1164"/>
      <c r="B324" s="1164"/>
      <c r="D324" s="1224"/>
    </row>
    <row r="325" spans="1:4" x14ac:dyDescent="0.2">
      <c r="A325" s="1164"/>
      <c r="B325" s="1164"/>
      <c r="D325" s="1224"/>
    </row>
    <row r="326" spans="1:4" x14ac:dyDescent="0.2">
      <c r="A326" s="1164"/>
      <c r="B326" s="1164"/>
      <c r="D326" s="1224"/>
    </row>
    <row r="327" spans="1:4" x14ac:dyDescent="0.2">
      <c r="A327" s="1164"/>
      <c r="B327" s="1164"/>
      <c r="D327" s="1224"/>
    </row>
    <row r="328" spans="1:4" x14ac:dyDescent="0.2">
      <c r="A328" s="1164"/>
      <c r="B328" s="1164"/>
      <c r="D328" s="1224"/>
    </row>
    <row r="329" spans="1:4" x14ac:dyDescent="0.2">
      <c r="A329" s="1164"/>
      <c r="B329" s="1164"/>
      <c r="D329" s="1224"/>
    </row>
    <row r="330" spans="1:4" x14ac:dyDescent="0.2">
      <c r="A330" s="1164"/>
      <c r="B330" s="1164"/>
      <c r="D330" s="1224"/>
    </row>
    <row r="331" spans="1:4" x14ac:dyDescent="0.2">
      <c r="A331" s="1164"/>
      <c r="B331" s="1164"/>
      <c r="D331" s="1224"/>
    </row>
    <row r="332" spans="1:4" x14ac:dyDescent="0.2">
      <c r="A332" s="1164"/>
      <c r="B332" s="1164"/>
      <c r="D332" s="1224"/>
    </row>
    <row r="333" spans="1:4" x14ac:dyDescent="0.2">
      <c r="A333" s="1164"/>
      <c r="B333" s="1164"/>
      <c r="D333" s="1224"/>
    </row>
    <row r="334" spans="1:4" x14ac:dyDescent="0.2">
      <c r="A334" s="1164"/>
      <c r="B334" s="1164"/>
      <c r="D334" s="1224"/>
    </row>
    <row r="335" spans="1:4" x14ac:dyDescent="0.2">
      <c r="A335" s="1164"/>
      <c r="B335" s="1164"/>
      <c r="D335" s="1224"/>
    </row>
    <row r="336" spans="1:4" x14ac:dyDescent="0.2">
      <c r="A336" s="1164"/>
      <c r="B336" s="1164"/>
      <c r="D336" s="1224"/>
    </row>
    <row r="337" spans="1:4" x14ac:dyDescent="0.2">
      <c r="A337" s="1164"/>
      <c r="B337" s="1164"/>
      <c r="D337" s="1224"/>
    </row>
    <row r="338" spans="1:4" x14ac:dyDescent="0.2">
      <c r="A338" s="1164"/>
      <c r="B338" s="1164"/>
      <c r="D338" s="1224"/>
    </row>
    <row r="339" spans="1:4" x14ac:dyDescent="0.2">
      <c r="A339" s="1164"/>
      <c r="B339" s="1164"/>
      <c r="D339" s="1224"/>
    </row>
    <row r="340" spans="1:4" x14ac:dyDescent="0.2">
      <c r="A340" s="1164"/>
      <c r="B340" s="1164"/>
      <c r="D340" s="1224"/>
    </row>
    <row r="341" spans="1:4" x14ac:dyDescent="0.2">
      <c r="A341" s="1164"/>
      <c r="B341" s="1164"/>
      <c r="D341" s="1224"/>
    </row>
    <row r="342" spans="1:4" x14ac:dyDescent="0.2">
      <c r="A342" s="1164"/>
      <c r="B342" s="1164"/>
      <c r="D342" s="1224"/>
    </row>
    <row r="343" spans="1:4" x14ac:dyDescent="0.2">
      <c r="A343" s="1164"/>
      <c r="B343" s="1164"/>
      <c r="D343" s="1224"/>
    </row>
    <row r="344" spans="1:4" x14ac:dyDescent="0.2">
      <c r="A344" s="1164"/>
      <c r="B344" s="1164"/>
      <c r="D344" s="1224"/>
    </row>
    <row r="345" spans="1:4" x14ac:dyDescent="0.2">
      <c r="A345" s="1164"/>
      <c r="B345" s="1164"/>
      <c r="D345" s="1224"/>
    </row>
    <row r="346" spans="1:4" x14ac:dyDescent="0.2">
      <c r="A346" s="1164"/>
      <c r="B346" s="1164"/>
      <c r="D346" s="1224"/>
    </row>
    <row r="347" spans="1:4" x14ac:dyDescent="0.2">
      <c r="A347" s="1164"/>
      <c r="B347" s="1164"/>
      <c r="D347" s="1224"/>
    </row>
    <row r="348" spans="1:4" x14ac:dyDescent="0.2">
      <c r="A348" s="1164"/>
      <c r="B348" s="1164"/>
      <c r="D348" s="1224"/>
    </row>
    <row r="349" spans="1:4" x14ac:dyDescent="0.2">
      <c r="A349" s="1164"/>
      <c r="B349" s="1164"/>
      <c r="D349" s="1224"/>
    </row>
    <row r="350" spans="1:4" x14ac:dyDescent="0.2">
      <c r="A350" s="1164"/>
      <c r="B350" s="1164"/>
      <c r="D350" s="1224"/>
    </row>
    <row r="351" spans="1:4" x14ac:dyDescent="0.2">
      <c r="A351" s="1164"/>
      <c r="B351" s="1164"/>
      <c r="D351" s="1224"/>
    </row>
    <row r="352" spans="1:4" x14ac:dyDescent="0.2">
      <c r="A352" s="1164"/>
      <c r="B352" s="1164"/>
      <c r="D352" s="1224"/>
    </row>
    <row r="353" spans="1:4" x14ac:dyDescent="0.2">
      <c r="A353" s="1164"/>
      <c r="B353" s="1164"/>
      <c r="D353" s="1224"/>
    </row>
    <row r="354" spans="1:4" x14ac:dyDescent="0.2">
      <c r="A354" s="1164"/>
      <c r="B354" s="1164"/>
      <c r="D354" s="1224"/>
    </row>
    <row r="355" spans="1:4" x14ac:dyDescent="0.2">
      <c r="A355" s="1164"/>
      <c r="B355" s="1164"/>
      <c r="D355" s="1224"/>
    </row>
    <row r="356" spans="1:4" x14ac:dyDescent="0.2">
      <c r="A356" s="1164"/>
      <c r="B356" s="1164"/>
      <c r="D356" s="1224"/>
    </row>
    <row r="357" spans="1:4" x14ac:dyDescent="0.2">
      <c r="A357" s="1164"/>
      <c r="B357" s="1164"/>
      <c r="D357" s="1224"/>
    </row>
    <row r="358" spans="1:4" x14ac:dyDescent="0.2">
      <c r="A358" s="1164"/>
      <c r="B358" s="1164"/>
      <c r="D358" s="1224"/>
    </row>
    <row r="359" spans="1:4" x14ac:dyDescent="0.2">
      <c r="A359" s="1164"/>
      <c r="B359" s="1164"/>
      <c r="D359" s="1224"/>
    </row>
    <row r="360" spans="1:4" x14ac:dyDescent="0.2">
      <c r="A360" s="1164"/>
      <c r="B360" s="1164"/>
      <c r="D360" s="1224"/>
    </row>
    <row r="361" spans="1:4" x14ac:dyDescent="0.2">
      <c r="A361" s="1164"/>
      <c r="B361" s="1164"/>
      <c r="D361" s="1224"/>
    </row>
    <row r="362" spans="1:4" x14ac:dyDescent="0.2">
      <c r="A362" s="1164"/>
      <c r="B362" s="1164"/>
      <c r="D362" s="1224"/>
    </row>
    <row r="363" spans="1:4" x14ac:dyDescent="0.2">
      <c r="A363" s="1164"/>
      <c r="B363" s="1164"/>
      <c r="D363" s="1224"/>
    </row>
    <row r="364" spans="1:4" x14ac:dyDescent="0.2">
      <c r="A364" s="1164"/>
      <c r="B364" s="1164"/>
      <c r="D364" s="1224"/>
    </row>
    <row r="365" spans="1:4" x14ac:dyDescent="0.2">
      <c r="A365" s="1164"/>
      <c r="B365" s="1164"/>
      <c r="D365" s="1224"/>
    </row>
    <row r="366" spans="1:4" x14ac:dyDescent="0.2">
      <c r="A366" s="1164"/>
      <c r="B366" s="1164"/>
      <c r="D366" s="1224"/>
    </row>
    <row r="367" spans="1:4" x14ac:dyDescent="0.2">
      <c r="A367" s="1164"/>
      <c r="B367" s="1164"/>
      <c r="D367" s="1224"/>
    </row>
    <row r="368" spans="1:4" x14ac:dyDescent="0.2">
      <c r="A368" s="1164"/>
      <c r="B368" s="1164"/>
      <c r="D368" s="1224"/>
    </row>
    <row r="369" spans="1:4" x14ac:dyDescent="0.2">
      <c r="A369" s="1164"/>
      <c r="B369" s="1164"/>
      <c r="D369" s="1224"/>
    </row>
    <row r="370" spans="1:4" x14ac:dyDescent="0.2">
      <c r="A370" s="1164"/>
      <c r="B370" s="1164"/>
      <c r="D370" s="1224"/>
    </row>
    <row r="371" spans="1:4" x14ac:dyDescent="0.2">
      <c r="A371" s="1164"/>
      <c r="B371" s="1164"/>
      <c r="D371" s="1224"/>
    </row>
    <row r="372" spans="1:4" x14ac:dyDescent="0.2">
      <c r="A372" s="1164"/>
      <c r="B372" s="1164"/>
      <c r="D372" s="1224"/>
    </row>
    <row r="373" spans="1:4" x14ac:dyDescent="0.2">
      <c r="A373" s="1164"/>
      <c r="B373" s="1164"/>
      <c r="D373" s="1224"/>
    </row>
    <row r="374" spans="1:4" x14ac:dyDescent="0.2">
      <c r="A374" s="1164"/>
      <c r="B374" s="1164"/>
      <c r="D374" s="1224"/>
    </row>
    <row r="375" spans="1:4" x14ac:dyDescent="0.2">
      <c r="A375" s="1164"/>
      <c r="B375" s="1164"/>
      <c r="D375" s="1224"/>
    </row>
    <row r="376" spans="1:4" x14ac:dyDescent="0.2">
      <c r="A376" s="1164"/>
      <c r="B376" s="1164"/>
      <c r="D376" s="1224"/>
    </row>
    <row r="377" spans="1:4" x14ac:dyDescent="0.2">
      <c r="A377" s="1164"/>
      <c r="B377" s="1164"/>
      <c r="D377" s="1224"/>
    </row>
    <row r="378" spans="1:4" x14ac:dyDescent="0.2">
      <c r="A378" s="1164"/>
      <c r="B378" s="1164"/>
      <c r="D378" s="1224"/>
    </row>
    <row r="379" spans="1:4" x14ac:dyDescent="0.2">
      <c r="A379" s="1164"/>
      <c r="B379" s="1164"/>
      <c r="D379" s="1224"/>
    </row>
    <row r="380" spans="1:4" x14ac:dyDescent="0.2">
      <c r="A380" s="1164"/>
      <c r="B380" s="1164"/>
      <c r="D380" s="1224"/>
    </row>
    <row r="381" spans="1:4" x14ac:dyDescent="0.2">
      <c r="A381" s="1164"/>
      <c r="B381" s="1164"/>
      <c r="D381" s="1224"/>
    </row>
    <row r="382" spans="1:4" x14ac:dyDescent="0.2">
      <c r="A382" s="1164"/>
      <c r="B382" s="1164"/>
      <c r="D382" s="1224"/>
    </row>
    <row r="383" spans="1:4" x14ac:dyDescent="0.2">
      <c r="A383" s="1164"/>
      <c r="B383" s="1164"/>
      <c r="D383" s="1224"/>
    </row>
    <row r="384" spans="1:4" x14ac:dyDescent="0.2">
      <c r="A384" s="1164"/>
      <c r="B384" s="1164"/>
      <c r="D384" s="1224"/>
    </row>
    <row r="385" spans="1:4" x14ac:dyDescent="0.2">
      <c r="A385" s="1164"/>
      <c r="B385" s="1164"/>
      <c r="D385" s="1224"/>
    </row>
    <row r="386" spans="1:4" x14ac:dyDescent="0.2">
      <c r="A386" s="1164"/>
      <c r="B386" s="1164"/>
      <c r="D386" s="1224"/>
    </row>
    <row r="387" spans="1:4" x14ac:dyDescent="0.2">
      <c r="A387" s="1164"/>
      <c r="B387" s="1164"/>
      <c r="D387" s="1224"/>
    </row>
    <row r="388" spans="1:4" x14ac:dyDescent="0.2">
      <c r="A388" s="1164"/>
      <c r="B388" s="1164"/>
      <c r="D388" s="1224"/>
    </row>
    <row r="389" spans="1:4" x14ac:dyDescent="0.2">
      <c r="A389" s="1164"/>
      <c r="B389" s="1164"/>
      <c r="D389" s="1224"/>
    </row>
    <row r="390" spans="1:4" x14ac:dyDescent="0.2">
      <c r="A390" s="1164"/>
      <c r="B390" s="1164"/>
      <c r="D390" s="1224"/>
    </row>
    <row r="391" spans="1:4" x14ac:dyDescent="0.2">
      <c r="A391" s="1164"/>
      <c r="B391" s="1164"/>
      <c r="D391" s="1224"/>
    </row>
    <row r="392" spans="1:4" x14ac:dyDescent="0.2">
      <c r="A392" s="1164"/>
      <c r="B392" s="1164"/>
      <c r="D392" s="1224"/>
    </row>
    <row r="393" spans="1:4" x14ac:dyDescent="0.2">
      <c r="A393" s="1164"/>
      <c r="B393" s="1164"/>
      <c r="D393" s="1224"/>
    </row>
    <row r="394" spans="1:4" x14ac:dyDescent="0.2">
      <c r="A394" s="1164"/>
      <c r="B394" s="1164"/>
      <c r="D394" s="1224"/>
    </row>
    <row r="395" spans="1:4" x14ac:dyDescent="0.2">
      <c r="A395" s="1164"/>
      <c r="B395" s="1164"/>
      <c r="D395" s="1224"/>
    </row>
    <row r="396" spans="1:4" x14ac:dyDescent="0.2">
      <c r="A396" s="1164"/>
      <c r="B396" s="1164"/>
      <c r="D396" s="1224"/>
    </row>
    <row r="397" spans="1:4" x14ac:dyDescent="0.2">
      <c r="A397" s="1164"/>
      <c r="B397" s="1164"/>
      <c r="D397" s="1224"/>
    </row>
    <row r="398" spans="1:4" x14ac:dyDescent="0.2">
      <c r="A398" s="1164"/>
      <c r="B398" s="1164"/>
      <c r="D398" s="1224"/>
    </row>
    <row r="399" spans="1:4" x14ac:dyDescent="0.2">
      <c r="A399" s="1164"/>
      <c r="B399" s="1164"/>
      <c r="D399" s="1224"/>
    </row>
    <row r="400" spans="1:4" x14ac:dyDescent="0.2">
      <c r="A400" s="1164"/>
      <c r="B400" s="1164"/>
      <c r="D400" s="1224"/>
    </row>
    <row r="401" spans="1:4" x14ac:dyDescent="0.2">
      <c r="A401" s="1164"/>
      <c r="B401" s="1164"/>
      <c r="D401" s="1224"/>
    </row>
    <row r="402" spans="1:4" x14ac:dyDescent="0.2">
      <c r="A402" s="1164"/>
      <c r="B402" s="1164"/>
      <c r="D402" s="1224"/>
    </row>
    <row r="403" spans="1:4" x14ac:dyDescent="0.2">
      <c r="A403" s="1164"/>
      <c r="B403" s="1164"/>
      <c r="D403" s="1224"/>
    </row>
    <row r="404" spans="1:4" x14ac:dyDescent="0.2">
      <c r="A404" s="1164"/>
      <c r="B404" s="1164"/>
      <c r="D404" s="1224"/>
    </row>
    <row r="405" spans="1:4" x14ac:dyDescent="0.2">
      <c r="A405" s="1164"/>
      <c r="B405" s="1164"/>
      <c r="D405" s="1224"/>
    </row>
    <row r="406" spans="1:4" x14ac:dyDescent="0.2">
      <c r="A406" s="1164"/>
      <c r="B406" s="1164"/>
      <c r="D406" s="1224"/>
    </row>
    <row r="407" spans="1:4" x14ac:dyDescent="0.2">
      <c r="A407" s="1164"/>
      <c r="B407" s="1164"/>
      <c r="D407" s="1224"/>
    </row>
    <row r="408" spans="1:4" x14ac:dyDescent="0.2">
      <c r="A408" s="1164"/>
      <c r="B408" s="1164"/>
      <c r="D408" s="1224"/>
    </row>
    <row r="409" spans="1:4" x14ac:dyDescent="0.2">
      <c r="A409" s="1164"/>
      <c r="B409" s="1164"/>
      <c r="D409" s="1224"/>
    </row>
    <row r="410" spans="1:4" x14ac:dyDescent="0.2">
      <c r="A410" s="1164"/>
      <c r="B410" s="1164"/>
      <c r="D410" s="1224"/>
    </row>
    <row r="411" spans="1:4" x14ac:dyDescent="0.2">
      <c r="A411" s="1164"/>
      <c r="B411" s="1164"/>
      <c r="D411" s="1224"/>
    </row>
    <row r="412" spans="1:4" x14ac:dyDescent="0.2">
      <c r="A412" s="1164"/>
      <c r="B412" s="1164"/>
      <c r="D412" s="1224"/>
    </row>
    <row r="413" spans="1:4" x14ac:dyDescent="0.2">
      <c r="A413" s="1164"/>
      <c r="B413" s="1164"/>
      <c r="D413" s="1224"/>
    </row>
    <row r="414" spans="1:4" x14ac:dyDescent="0.2">
      <c r="A414" s="1164"/>
      <c r="B414" s="1164"/>
      <c r="D414" s="1224"/>
    </row>
    <row r="415" spans="1:4" x14ac:dyDescent="0.2">
      <c r="A415" s="1164"/>
      <c r="B415" s="1164"/>
      <c r="D415" s="1224"/>
    </row>
    <row r="416" spans="1:4" x14ac:dyDescent="0.2">
      <c r="A416" s="1164"/>
      <c r="B416" s="1164"/>
      <c r="D416" s="1224"/>
    </row>
    <row r="417" spans="1:4" x14ac:dyDescent="0.2">
      <c r="A417" s="1164"/>
      <c r="B417" s="1164"/>
      <c r="D417" s="1224"/>
    </row>
    <row r="418" spans="1:4" x14ac:dyDescent="0.2">
      <c r="A418" s="1164"/>
      <c r="B418" s="1164"/>
      <c r="D418" s="1224"/>
    </row>
    <row r="419" spans="1:4" x14ac:dyDescent="0.2">
      <c r="A419" s="1164"/>
      <c r="B419" s="1164"/>
      <c r="D419" s="1224"/>
    </row>
    <row r="420" spans="1:4" x14ac:dyDescent="0.2">
      <c r="A420" s="1164"/>
      <c r="B420" s="1164"/>
      <c r="D420" s="1224"/>
    </row>
    <row r="421" spans="1:4" x14ac:dyDescent="0.2">
      <c r="A421" s="1164"/>
      <c r="B421" s="1164"/>
      <c r="D421" s="1224"/>
    </row>
    <row r="422" spans="1:4" x14ac:dyDescent="0.2">
      <c r="A422" s="1164"/>
      <c r="B422" s="1164"/>
      <c r="D422" s="1224"/>
    </row>
    <row r="423" spans="1:4" x14ac:dyDescent="0.2">
      <c r="A423" s="1164"/>
      <c r="B423" s="1164"/>
      <c r="D423" s="1224"/>
    </row>
    <row r="424" spans="1:4" x14ac:dyDescent="0.2">
      <c r="A424" s="1164"/>
      <c r="B424" s="1164"/>
      <c r="D424" s="1224"/>
    </row>
    <row r="425" spans="1:4" x14ac:dyDescent="0.2">
      <c r="A425" s="1164"/>
      <c r="B425" s="1164"/>
      <c r="D425" s="1224"/>
    </row>
    <row r="426" spans="1:4" x14ac:dyDescent="0.2">
      <c r="A426" s="1164"/>
      <c r="B426" s="1164"/>
      <c r="D426" s="1224"/>
    </row>
    <row r="427" spans="1:4" x14ac:dyDescent="0.2">
      <c r="A427" s="1164"/>
      <c r="B427" s="1164"/>
      <c r="D427" s="1224"/>
    </row>
    <row r="428" spans="1:4" x14ac:dyDescent="0.2">
      <c r="A428" s="1164"/>
      <c r="B428" s="1164"/>
      <c r="D428" s="1224"/>
    </row>
    <row r="429" spans="1:4" x14ac:dyDescent="0.2">
      <c r="A429" s="1164"/>
      <c r="B429" s="1164"/>
      <c r="D429" s="1224"/>
    </row>
    <row r="430" spans="1:4" x14ac:dyDescent="0.2">
      <c r="A430" s="1164"/>
      <c r="B430" s="1164"/>
      <c r="D430" s="1224"/>
    </row>
    <row r="431" spans="1:4" x14ac:dyDescent="0.2">
      <c r="A431" s="1164"/>
      <c r="B431" s="1164"/>
      <c r="D431" s="1224"/>
    </row>
    <row r="432" spans="1:4" x14ac:dyDescent="0.2">
      <c r="A432" s="1164"/>
      <c r="B432" s="1164"/>
      <c r="D432" s="1224"/>
    </row>
    <row r="433" spans="1:4" x14ac:dyDescent="0.2">
      <c r="A433" s="1164"/>
      <c r="B433" s="1164"/>
      <c r="D433" s="1224"/>
    </row>
    <row r="434" spans="1:4" x14ac:dyDescent="0.2">
      <c r="A434" s="1164"/>
      <c r="B434" s="1164"/>
      <c r="D434" s="1224"/>
    </row>
    <row r="435" spans="1:4" x14ac:dyDescent="0.2">
      <c r="A435" s="1164"/>
      <c r="B435" s="1164"/>
      <c r="D435" s="1224"/>
    </row>
    <row r="436" spans="1:4" x14ac:dyDescent="0.2">
      <c r="A436" s="1164"/>
      <c r="B436" s="1164"/>
      <c r="D436" s="1224"/>
    </row>
    <row r="437" spans="1:4" x14ac:dyDescent="0.2">
      <c r="A437" s="1164"/>
      <c r="B437" s="1164"/>
      <c r="D437" s="1224"/>
    </row>
    <row r="438" spans="1:4" x14ac:dyDescent="0.2">
      <c r="A438" s="1164"/>
      <c r="B438" s="1164"/>
      <c r="D438" s="1224"/>
    </row>
    <row r="439" spans="1:4" x14ac:dyDescent="0.2">
      <c r="A439" s="1164"/>
      <c r="B439" s="1164"/>
      <c r="D439" s="1224"/>
    </row>
    <row r="440" spans="1:4" x14ac:dyDescent="0.2">
      <c r="A440" s="1164"/>
      <c r="B440" s="1164"/>
      <c r="D440" s="1224"/>
    </row>
    <row r="441" spans="1:4" x14ac:dyDescent="0.2">
      <c r="A441" s="1164"/>
      <c r="B441" s="1164"/>
      <c r="D441" s="1224"/>
    </row>
    <row r="442" spans="1:4" x14ac:dyDescent="0.2">
      <c r="A442" s="1164"/>
      <c r="B442" s="1164"/>
      <c r="D442" s="1224"/>
    </row>
    <row r="443" spans="1:4" x14ac:dyDescent="0.2">
      <c r="A443" s="1164"/>
      <c r="B443" s="1164"/>
      <c r="D443" s="1224"/>
    </row>
    <row r="444" spans="1:4" x14ac:dyDescent="0.2">
      <c r="A444" s="1164"/>
      <c r="B444" s="1164"/>
      <c r="D444" s="1224"/>
    </row>
    <row r="445" spans="1:4" x14ac:dyDescent="0.2">
      <c r="A445" s="1164"/>
      <c r="B445" s="1164"/>
      <c r="D445" s="1224"/>
    </row>
    <row r="446" spans="1:4" x14ac:dyDescent="0.2">
      <c r="A446" s="1164"/>
      <c r="B446" s="1164"/>
      <c r="D446" s="1224"/>
    </row>
    <row r="447" spans="1:4" x14ac:dyDescent="0.2">
      <c r="A447" s="1164"/>
      <c r="B447" s="1164"/>
      <c r="D447" s="1224"/>
    </row>
    <row r="448" spans="1:4" x14ac:dyDescent="0.2">
      <c r="A448" s="1164"/>
      <c r="B448" s="1164"/>
      <c r="D448" s="1224"/>
    </row>
    <row r="449" spans="1:4" x14ac:dyDescent="0.2">
      <c r="A449" s="1164"/>
      <c r="B449" s="1164"/>
      <c r="D449" s="1224"/>
    </row>
    <row r="450" spans="1:4" x14ac:dyDescent="0.2">
      <c r="A450" s="1164"/>
      <c r="B450" s="1164"/>
      <c r="D450" s="1224"/>
    </row>
    <row r="451" spans="1:4" x14ac:dyDescent="0.2">
      <c r="A451" s="1164"/>
      <c r="B451" s="1164"/>
      <c r="D451" s="1224"/>
    </row>
    <row r="452" spans="1:4" x14ac:dyDescent="0.2">
      <c r="A452" s="1164"/>
      <c r="B452" s="1164"/>
      <c r="D452" s="1224"/>
    </row>
    <row r="453" spans="1:4" x14ac:dyDescent="0.2">
      <c r="A453" s="1164"/>
      <c r="B453" s="1164"/>
      <c r="D453" s="1224"/>
    </row>
    <row r="454" spans="1:4" x14ac:dyDescent="0.2">
      <c r="A454" s="1164"/>
      <c r="B454" s="1164"/>
      <c r="D454" s="1224"/>
    </row>
    <row r="455" spans="1:4" x14ac:dyDescent="0.2">
      <c r="A455" s="1164"/>
      <c r="B455" s="1164"/>
      <c r="D455" s="1224"/>
    </row>
    <row r="456" spans="1:4" x14ac:dyDescent="0.2">
      <c r="A456" s="1164"/>
      <c r="B456" s="1164"/>
      <c r="D456" s="1224"/>
    </row>
    <row r="457" spans="1:4" x14ac:dyDescent="0.2">
      <c r="A457" s="1164"/>
      <c r="B457" s="1164"/>
      <c r="D457" s="1224"/>
    </row>
    <row r="458" spans="1:4" x14ac:dyDescent="0.2">
      <c r="A458" s="1164"/>
      <c r="B458" s="1164"/>
      <c r="D458" s="1224"/>
    </row>
    <row r="459" spans="1:4" x14ac:dyDescent="0.2">
      <c r="A459" s="1164"/>
      <c r="B459" s="1164"/>
      <c r="D459" s="1224"/>
    </row>
    <row r="460" spans="1:4" x14ac:dyDescent="0.2">
      <c r="A460" s="1164"/>
      <c r="B460" s="1164"/>
      <c r="D460" s="1224"/>
    </row>
    <row r="461" spans="1:4" x14ac:dyDescent="0.2">
      <c r="A461" s="1164"/>
      <c r="B461" s="1164"/>
      <c r="D461" s="1224"/>
    </row>
    <row r="462" spans="1:4" x14ac:dyDescent="0.2">
      <c r="A462" s="1164"/>
      <c r="B462" s="1164"/>
      <c r="D462" s="1224"/>
    </row>
    <row r="463" spans="1:4" x14ac:dyDescent="0.2">
      <c r="A463" s="1164"/>
      <c r="B463" s="1164"/>
      <c r="D463" s="1224"/>
    </row>
    <row r="464" spans="1:4" x14ac:dyDescent="0.2">
      <c r="A464" s="1164"/>
      <c r="B464" s="1164"/>
      <c r="D464" s="1224"/>
    </row>
    <row r="465" spans="1:4" x14ac:dyDescent="0.2">
      <c r="A465" s="1164"/>
      <c r="B465" s="1164"/>
      <c r="D465" s="1224"/>
    </row>
    <row r="466" spans="1:4" x14ac:dyDescent="0.2">
      <c r="A466" s="1164"/>
      <c r="B466" s="1164"/>
      <c r="D466" s="1224"/>
    </row>
    <row r="467" spans="1:4" x14ac:dyDescent="0.2">
      <c r="A467" s="1164"/>
      <c r="B467" s="1164"/>
      <c r="D467" s="1224"/>
    </row>
    <row r="468" spans="1:4" x14ac:dyDescent="0.2">
      <c r="A468" s="1164"/>
      <c r="B468" s="1164"/>
      <c r="D468" s="1224"/>
    </row>
    <row r="469" spans="1:4" x14ac:dyDescent="0.2">
      <c r="A469" s="1164"/>
      <c r="B469" s="1164"/>
      <c r="D469" s="1224"/>
    </row>
    <row r="470" spans="1:4" x14ac:dyDescent="0.2">
      <c r="A470" s="1164"/>
      <c r="B470" s="1164"/>
      <c r="D470" s="1224"/>
    </row>
    <row r="471" spans="1:4" x14ac:dyDescent="0.2">
      <c r="A471" s="1164"/>
      <c r="B471" s="1164"/>
      <c r="D471" s="1224"/>
    </row>
    <row r="472" spans="1:4" x14ac:dyDescent="0.2">
      <c r="A472" s="1164"/>
      <c r="B472" s="1164"/>
      <c r="D472" s="1224"/>
    </row>
    <row r="473" spans="1:4" x14ac:dyDescent="0.2">
      <c r="A473" s="1164"/>
      <c r="B473" s="1164"/>
      <c r="D473" s="1224"/>
    </row>
    <row r="474" spans="1:4" x14ac:dyDescent="0.2">
      <c r="A474" s="1164"/>
      <c r="B474" s="1164"/>
      <c r="D474" s="1224"/>
    </row>
    <row r="475" spans="1:4" x14ac:dyDescent="0.2">
      <c r="A475" s="1164"/>
      <c r="B475" s="1164"/>
      <c r="D475" s="1224"/>
    </row>
    <row r="476" spans="1:4" x14ac:dyDescent="0.2">
      <c r="A476" s="1164"/>
      <c r="B476" s="1164"/>
      <c r="D476" s="1224"/>
    </row>
    <row r="477" spans="1:4" x14ac:dyDescent="0.2">
      <c r="A477" s="1164"/>
      <c r="B477" s="1164"/>
      <c r="D477" s="1224"/>
    </row>
    <row r="478" spans="1:4" x14ac:dyDescent="0.2">
      <c r="A478" s="1164"/>
      <c r="B478" s="1164"/>
      <c r="D478" s="1224"/>
    </row>
    <row r="479" spans="1:4" x14ac:dyDescent="0.2">
      <c r="A479" s="1164"/>
      <c r="B479" s="1164"/>
      <c r="D479" s="1224"/>
    </row>
    <row r="480" spans="1:4" x14ac:dyDescent="0.2">
      <c r="A480" s="1164"/>
      <c r="B480" s="1164"/>
      <c r="D480" s="1224"/>
    </row>
    <row r="481" spans="1:4" x14ac:dyDescent="0.2">
      <c r="A481" s="1164"/>
      <c r="B481" s="1164"/>
      <c r="D481" s="1224"/>
    </row>
    <row r="482" spans="1:4" x14ac:dyDescent="0.2">
      <c r="A482" s="1164"/>
      <c r="B482" s="1164"/>
      <c r="D482" s="1224"/>
    </row>
    <row r="483" spans="1:4" x14ac:dyDescent="0.2">
      <c r="A483" s="1164"/>
      <c r="B483" s="1164"/>
      <c r="D483" s="1224"/>
    </row>
    <row r="484" spans="1:4" x14ac:dyDescent="0.2">
      <c r="A484" s="1164"/>
      <c r="B484" s="1164"/>
      <c r="D484" s="1224"/>
    </row>
    <row r="485" spans="1:4" x14ac:dyDescent="0.2">
      <c r="A485" s="1164"/>
      <c r="B485" s="1164"/>
      <c r="D485" s="1224"/>
    </row>
    <row r="486" spans="1:4" x14ac:dyDescent="0.2">
      <c r="A486" s="1164"/>
      <c r="B486" s="1164"/>
      <c r="D486" s="1224"/>
    </row>
    <row r="487" spans="1:4" x14ac:dyDescent="0.2">
      <c r="A487" s="1164"/>
      <c r="B487" s="1164"/>
      <c r="D487" s="1224"/>
    </row>
    <row r="488" spans="1:4" x14ac:dyDescent="0.2">
      <c r="A488" s="1164"/>
      <c r="B488" s="1164"/>
      <c r="D488" s="1224"/>
    </row>
    <row r="489" spans="1:4" x14ac:dyDescent="0.2">
      <c r="A489" s="1164"/>
      <c r="B489" s="1164"/>
      <c r="D489" s="1224"/>
    </row>
    <row r="490" spans="1:4" x14ac:dyDescent="0.2">
      <c r="A490" s="1164"/>
      <c r="B490" s="1164"/>
      <c r="D490" s="1224"/>
    </row>
    <row r="491" spans="1:4" x14ac:dyDescent="0.2">
      <c r="A491" s="1164"/>
      <c r="B491" s="1164"/>
      <c r="D491" s="1224"/>
    </row>
    <row r="492" spans="1:4" x14ac:dyDescent="0.2">
      <c r="A492" s="1164"/>
      <c r="B492" s="1164"/>
      <c r="D492" s="1224"/>
    </row>
    <row r="493" spans="1:4" x14ac:dyDescent="0.2">
      <c r="A493" s="1164"/>
      <c r="B493" s="1164"/>
      <c r="D493" s="1224"/>
    </row>
    <row r="494" spans="1:4" x14ac:dyDescent="0.2">
      <c r="A494" s="1164"/>
      <c r="B494" s="1164"/>
      <c r="D494" s="1224"/>
    </row>
    <row r="495" spans="1:4" x14ac:dyDescent="0.2">
      <c r="A495" s="1164"/>
      <c r="B495" s="1164"/>
      <c r="D495" s="1224"/>
    </row>
    <row r="496" spans="1:4" x14ac:dyDescent="0.2">
      <c r="A496" s="1164"/>
      <c r="B496" s="1164"/>
      <c r="D496" s="1224"/>
    </row>
    <row r="497" spans="1:4" x14ac:dyDescent="0.2">
      <c r="A497" s="1164"/>
      <c r="B497" s="1164"/>
      <c r="D497" s="1224"/>
    </row>
    <row r="498" spans="1:4" x14ac:dyDescent="0.2">
      <c r="A498" s="1164"/>
      <c r="B498" s="1164"/>
      <c r="D498" s="1224"/>
    </row>
    <row r="499" spans="1:4" x14ac:dyDescent="0.2">
      <c r="A499" s="1164"/>
      <c r="B499" s="1164"/>
      <c r="D499" s="1224"/>
    </row>
    <row r="500" spans="1:4" x14ac:dyDescent="0.2">
      <c r="A500" s="1164"/>
      <c r="B500" s="1164"/>
      <c r="D500" s="1224"/>
    </row>
    <row r="501" spans="1:4" x14ac:dyDescent="0.2">
      <c r="A501" s="1164"/>
      <c r="B501" s="1164"/>
      <c r="D501" s="1224"/>
    </row>
    <row r="502" spans="1:4" x14ac:dyDescent="0.2">
      <c r="A502" s="1164"/>
      <c r="B502" s="1164"/>
      <c r="D502" s="1224"/>
    </row>
    <row r="503" spans="1:4" x14ac:dyDescent="0.2">
      <c r="A503" s="1164"/>
      <c r="B503" s="1164"/>
      <c r="D503" s="1224"/>
    </row>
    <row r="504" spans="1:4" x14ac:dyDescent="0.2">
      <c r="A504" s="1164"/>
      <c r="B504" s="1164"/>
      <c r="D504" s="1224"/>
    </row>
    <row r="505" spans="1:4" x14ac:dyDescent="0.2">
      <c r="A505" s="1164"/>
      <c r="B505" s="1164"/>
      <c r="D505" s="1224"/>
    </row>
    <row r="506" spans="1:4" x14ac:dyDescent="0.2">
      <c r="A506" s="1164"/>
      <c r="B506" s="1164"/>
      <c r="D506" s="1224"/>
    </row>
    <row r="507" spans="1:4" x14ac:dyDescent="0.2">
      <c r="A507" s="1164"/>
      <c r="B507" s="1164"/>
      <c r="D507" s="1224"/>
    </row>
    <row r="508" spans="1:4" x14ac:dyDescent="0.2">
      <c r="A508" s="1164"/>
      <c r="B508" s="1164"/>
      <c r="D508" s="1224"/>
    </row>
    <row r="509" spans="1:4" x14ac:dyDescent="0.2">
      <c r="A509" s="1164"/>
      <c r="B509" s="1164"/>
      <c r="D509" s="1224"/>
    </row>
    <row r="510" spans="1:4" x14ac:dyDescent="0.2">
      <c r="A510" s="1164"/>
      <c r="B510" s="1164"/>
      <c r="D510" s="1224"/>
    </row>
    <row r="511" spans="1:4" x14ac:dyDescent="0.2">
      <c r="A511" s="1164"/>
      <c r="B511" s="1164"/>
      <c r="D511" s="1224"/>
    </row>
    <row r="512" spans="1:4" x14ac:dyDescent="0.2">
      <c r="A512" s="1164"/>
      <c r="B512" s="1164"/>
      <c r="D512" s="1224"/>
    </row>
    <row r="513" spans="1:4" x14ac:dyDescent="0.2">
      <c r="A513" s="1164"/>
      <c r="B513" s="1164"/>
      <c r="D513" s="1224"/>
    </row>
    <row r="514" spans="1:4" x14ac:dyDescent="0.2">
      <c r="A514" s="1164"/>
      <c r="B514" s="1164"/>
      <c r="D514" s="1224"/>
    </row>
    <row r="515" spans="1:4" x14ac:dyDescent="0.2">
      <c r="A515" s="1164"/>
      <c r="B515" s="1164"/>
      <c r="D515" s="1224"/>
    </row>
    <row r="516" spans="1:4" x14ac:dyDescent="0.2">
      <c r="A516" s="1164"/>
      <c r="B516" s="1164"/>
      <c r="D516" s="1224"/>
    </row>
    <row r="517" spans="1:4" x14ac:dyDescent="0.2">
      <c r="A517" s="1164"/>
      <c r="B517" s="1164"/>
      <c r="D517" s="1224"/>
    </row>
    <row r="518" spans="1:4" x14ac:dyDescent="0.2">
      <c r="A518" s="1164"/>
      <c r="B518" s="1164"/>
      <c r="D518" s="1224"/>
    </row>
    <row r="519" spans="1:4" x14ac:dyDescent="0.2">
      <c r="A519" s="1164"/>
      <c r="B519" s="1164"/>
      <c r="D519" s="1224"/>
    </row>
    <row r="520" spans="1:4" x14ac:dyDescent="0.2">
      <c r="A520" s="1164"/>
      <c r="B520" s="1164"/>
      <c r="D520" s="1224"/>
    </row>
    <row r="521" spans="1:4" x14ac:dyDescent="0.2">
      <c r="A521" s="1164"/>
      <c r="B521" s="1164"/>
      <c r="D521" s="1224"/>
    </row>
    <row r="522" spans="1:4" x14ac:dyDescent="0.2">
      <c r="A522" s="1164"/>
      <c r="B522" s="1164"/>
      <c r="D522" s="1224"/>
    </row>
    <row r="523" spans="1:4" x14ac:dyDescent="0.2">
      <c r="A523" s="1164"/>
      <c r="B523" s="1164"/>
      <c r="D523" s="1224"/>
    </row>
    <row r="524" spans="1:4" x14ac:dyDescent="0.2">
      <c r="A524" s="1164"/>
      <c r="B524" s="1164"/>
      <c r="D524" s="1224"/>
    </row>
    <row r="525" spans="1:4" x14ac:dyDescent="0.2">
      <c r="A525" s="1164"/>
      <c r="B525" s="1164"/>
      <c r="D525" s="1224"/>
    </row>
    <row r="526" spans="1:4" x14ac:dyDescent="0.2">
      <c r="A526" s="1164"/>
      <c r="B526" s="1164"/>
      <c r="D526" s="1224"/>
    </row>
    <row r="527" spans="1:4" x14ac:dyDescent="0.2">
      <c r="A527" s="1164"/>
      <c r="B527" s="1164"/>
      <c r="D527" s="1224"/>
    </row>
    <row r="528" spans="1:4" x14ac:dyDescent="0.2">
      <c r="A528" s="1164"/>
      <c r="B528" s="1164"/>
      <c r="D528" s="1224"/>
    </row>
    <row r="529" spans="1:4" x14ac:dyDescent="0.2">
      <c r="A529" s="1164"/>
      <c r="B529" s="1164"/>
      <c r="D529" s="1224"/>
    </row>
    <row r="530" spans="1:4" x14ac:dyDescent="0.2">
      <c r="A530" s="1164"/>
      <c r="B530" s="1164"/>
      <c r="D530" s="1224"/>
    </row>
    <row r="531" spans="1:4" x14ac:dyDescent="0.2">
      <c r="A531" s="1164"/>
      <c r="B531" s="1164"/>
      <c r="D531" s="1224"/>
    </row>
    <row r="532" spans="1:4" x14ac:dyDescent="0.2">
      <c r="A532" s="1164"/>
      <c r="B532" s="1164"/>
      <c r="D532" s="1224"/>
    </row>
    <row r="533" spans="1:4" x14ac:dyDescent="0.2">
      <c r="A533" s="1164"/>
      <c r="B533" s="1164"/>
      <c r="D533" s="1224"/>
    </row>
    <row r="534" spans="1:4" x14ac:dyDescent="0.2">
      <c r="A534" s="1164"/>
      <c r="B534" s="1164"/>
      <c r="D534" s="1224"/>
    </row>
    <row r="535" spans="1:4" x14ac:dyDescent="0.2">
      <c r="A535" s="1164"/>
      <c r="B535" s="1164"/>
      <c r="D535" s="1224"/>
    </row>
    <row r="536" spans="1:4" x14ac:dyDescent="0.2">
      <c r="A536" s="1164"/>
      <c r="B536" s="1164"/>
      <c r="D536" s="1224"/>
    </row>
    <row r="537" spans="1:4" x14ac:dyDescent="0.2">
      <c r="A537" s="1164"/>
      <c r="B537" s="1164"/>
      <c r="D537" s="1224"/>
    </row>
    <row r="538" spans="1:4" x14ac:dyDescent="0.2">
      <c r="A538" s="1164"/>
      <c r="B538" s="1164"/>
      <c r="D538" s="1224"/>
    </row>
    <row r="539" spans="1:4" x14ac:dyDescent="0.2">
      <c r="A539" s="1164"/>
      <c r="B539" s="1164"/>
      <c r="D539" s="1224"/>
    </row>
    <row r="540" spans="1:4" x14ac:dyDescent="0.2">
      <c r="A540" s="1164"/>
      <c r="B540" s="1164"/>
      <c r="D540" s="1224"/>
    </row>
    <row r="541" spans="1:4" x14ac:dyDescent="0.2">
      <c r="A541" s="1164"/>
      <c r="B541" s="1164"/>
      <c r="D541" s="1224"/>
    </row>
    <row r="542" spans="1:4" x14ac:dyDescent="0.2">
      <c r="A542" s="1164"/>
      <c r="B542" s="1164"/>
      <c r="D542" s="1224"/>
    </row>
    <row r="543" spans="1:4" x14ac:dyDescent="0.2">
      <c r="A543" s="1164"/>
      <c r="B543" s="1164"/>
      <c r="D543" s="1224"/>
    </row>
    <row r="544" spans="1:4" x14ac:dyDescent="0.2">
      <c r="A544" s="1164"/>
      <c r="B544" s="1164"/>
      <c r="D544" s="1224"/>
    </row>
    <row r="545" spans="1:4" x14ac:dyDescent="0.2">
      <c r="A545" s="1164"/>
      <c r="B545" s="1164"/>
      <c r="D545" s="1224"/>
    </row>
    <row r="546" spans="1:4" x14ac:dyDescent="0.2">
      <c r="A546" s="1164"/>
      <c r="B546" s="1164"/>
      <c r="D546" s="1224"/>
    </row>
    <row r="547" spans="1:4" x14ac:dyDescent="0.2">
      <c r="A547" s="1164"/>
      <c r="B547" s="1164"/>
      <c r="D547" s="1224"/>
    </row>
    <row r="548" spans="1:4" x14ac:dyDescent="0.2">
      <c r="A548" s="1164"/>
      <c r="B548" s="1164"/>
      <c r="D548" s="1224"/>
    </row>
    <row r="549" spans="1:4" x14ac:dyDescent="0.2">
      <c r="A549" s="1164"/>
      <c r="B549" s="1164"/>
      <c r="D549" s="1224"/>
    </row>
    <row r="550" spans="1:4" x14ac:dyDescent="0.2">
      <c r="A550" s="1164"/>
      <c r="B550" s="1164"/>
      <c r="D550" s="1224"/>
    </row>
    <row r="551" spans="1:4" x14ac:dyDescent="0.2">
      <c r="A551" s="1164"/>
      <c r="B551" s="1164"/>
      <c r="D551" s="1224"/>
    </row>
    <row r="552" spans="1:4" x14ac:dyDescent="0.2">
      <c r="A552" s="1164"/>
      <c r="B552" s="1164"/>
      <c r="D552" s="1224"/>
    </row>
    <row r="553" spans="1:4" x14ac:dyDescent="0.2">
      <c r="A553" s="1164"/>
      <c r="B553" s="1164"/>
      <c r="D553" s="1224"/>
    </row>
    <row r="554" spans="1:4" x14ac:dyDescent="0.2">
      <c r="A554" s="1164"/>
      <c r="B554" s="1164"/>
      <c r="D554" s="1224"/>
    </row>
    <row r="555" spans="1:4" x14ac:dyDescent="0.2">
      <c r="A555" s="1164"/>
      <c r="B555" s="1164"/>
      <c r="D555" s="1224"/>
    </row>
    <row r="556" spans="1:4" x14ac:dyDescent="0.2">
      <c r="A556" s="1164"/>
      <c r="B556" s="1164"/>
      <c r="D556" s="1224"/>
    </row>
    <row r="557" spans="1:4" x14ac:dyDescent="0.2">
      <c r="A557" s="1164"/>
      <c r="B557" s="1164"/>
      <c r="D557" s="1224"/>
    </row>
    <row r="558" spans="1:4" x14ac:dyDescent="0.2">
      <c r="A558" s="1164"/>
      <c r="B558" s="1164"/>
      <c r="D558" s="1224"/>
    </row>
    <row r="559" spans="1:4" x14ac:dyDescent="0.2">
      <c r="A559" s="1164"/>
      <c r="B559" s="1164"/>
      <c r="D559" s="1224"/>
    </row>
    <row r="560" spans="1:4" x14ac:dyDescent="0.2">
      <c r="A560" s="1164"/>
      <c r="B560" s="1164"/>
      <c r="D560" s="1224"/>
    </row>
    <row r="561" spans="1:4" x14ac:dyDescent="0.2">
      <c r="A561" s="1164"/>
      <c r="B561" s="1164"/>
      <c r="D561" s="1224"/>
    </row>
    <row r="562" spans="1:4" x14ac:dyDescent="0.2">
      <c r="A562" s="1164"/>
      <c r="B562" s="1164"/>
      <c r="D562" s="1224"/>
    </row>
    <row r="563" spans="1:4" x14ac:dyDescent="0.2">
      <c r="A563" s="1164"/>
      <c r="B563" s="1164"/>
      <c r="D563" s="1224"/>
    </row>
    <row r="564" spans="1:4" x14ac:dyDescent="0.2">
      <c r="A564" s="1164"/>
      <c r="B564" s="1164"/>
      <c r="D564" s="1224"/>
    </row>
    <row r="565" spans="1:4" x14ac:dyDescent="0.2">
      <c r="A565" s="1164"/>
      <c r="B565" s="1164"/>
      <c r="D565" s="1224"/>
    </row>
    <row r="566" spans="1:4" x14ac:dyDescent="0.2">
      <c r="A566" s="1164"/>
      <c r="B566" s="1164"/>
      <c r="D566" s="1224"/>
    </row>
    <row r="567" spans="1:4" x14ac:dyDescent="0.2">
      <c r="A567" s="1164"/>
      <c r="B567" s="1164"/>
      <c r="D567" s="1224"/>
    </row>
    <row r="568" spans="1:4" x14ac:dyDescent="0.2">
      <c r="A568" s="1164"/>
      <c r="B568" s="1164"/>
      <c r="D568" s="1224"/>
    </row>
    <row r="569" spans="1:4" x14ac:dyDescent="0.2">
      <c r="A569" s="1164"/>
      <c r="B569" s="1164"/>
      <c r="D569" s="1224"/>
    </row>
    <row r="570" spans="1:4" x14ac:dyDescent="0.2">
      <c r="A570" s="1164"/>
      <c r="B570" s="1164"/>
      <c r="D570" s="1224"/>
    </row>
    <row r="571" spans="1:4" x14ac:dyDescent="0.2">
      <c r="A571" s="1164"/>
      <c r="B571" s="1164"/>
      <c r="D571" s="1224"/>
    </row>
    <row r="572" spans="1:4" x14ac:dyDescent="0.2">
      <c r="A572" s="1164"/>
      <c r="B572" s="1164"/>
      <c r="D572" s="1224"/>
    </row>
    <row r="573" spans="1:4" x14ac:dyDescent="0.2">
      <c r="A573" s="1164"/>
      <c r="B573" s="1164"/>
      <c r="D573" s="1224"/>
    </row>
    <row r="574" spans="1:4" x14ac:dyDescent="0.2">
      <c r="A574" s="1164"/>
      <c r="B574" s="1164"/>
      <c r="D574" s="1224"/>
    </row>
    <row r="575" spans="1:4" x14ac:dyDescent="0.2">
      <c r="A575" s="1164"/>
      <c r="B575" s="1164"/>
      <c r="D575" s="1224"/>
    </row>
    <row r="576" spans="1:4" x14ac:dyDescent="0.2">
      <c r="A576" s="1164"/>
      <c r="B576" s="1164"/>
      <c r="D576" s="1224"/>
    </row>
    <row r="577" spans="1:4" x14ac:dyDescent="0.2">
      <c r="A577" s="1164"/>
      <c r="B577" s="1164"/>
      <c r="D577" s="1224"/>
    </row>
    <row r="578" spans="1:4" x14ac:dyDescent="0.2">
      <c r="A578" s="1164"/>
      <c r="B578" s="1164"/>
      <c r="D578" s="1224"/>
    </row>
    <row r="579" spans="1:4" x14ac:dyDescent="0.2">
      <c r="A579" s="1164"/>
      <c r="B579" s="1164"/>
      <c r="D579" s="1224"/>
    </row>
    <row r="580" spans="1:4" x14ac:dyDescent="0.2">
      <c r="A580" s="1164"/>
      <c r="B580" s="1164"/>
      <c r="D580" s="1224"/>
    </row>
    <row r="581" spans="1:4" x14ac:dyDescent="0.2">
      <c r="A581" s="1164"/>
      <c r="B581" s="1164"/>
      <c r="D581" s="1224"/>
    </row>
    <row r="582" spans="1:4" x14ac:dyDescent="0.2">
      <c r="A582" s="1164"/>
      <c r="B582" s="1164"/>
      <c r="D582" s="1224"/>
    </row>
    <row r="583" spans="1:4" x14ac:dyDescent="0.2">
      <c r="A583" s="1164"/>
      <c r="B583" s="1164"/>
      <c r="D583" s="1224"/>
    </row>
    <row r="584" spans="1:4" x14ac:dyDescent="0.2">
      <c r="A584" s="1164"/>
      <c r="B584" s="1164"/>
      <c r="D584" s="1224"/>
    </row>
    <row r="585" spans="1:4" x14ac:dyDescent="0.2">
      <c r="A585" s="1164"/>
      <c r="B585" s="1164"/>
      <c r="D585" s="1224"/>
    </row>
    <row r="586" spans="1:4" x14ac:dyDescent="0.2">
      <c r="A586" s="1164"/>
      <c r="B586" s="1164"/>
      <c r="D586" s="1224"/>
    </row>
    <row r="587" spans="1:4" x14ac:dyDescent="0.2">
      <c r="A587" s="1164"/>
      <c r="B587" s="1164"/>
      <c r="D587" s="1224"/>
    </row>
    <row r="588" spans="1:4" x14ac:dyDescent="0.2">
      <c r="A588" s="1164"/>
      <c r="B588" s="1164"/>
      <c r="D588" s="1224"/>
    </row>
    <row r="589" spans="1:4" x14ac:dyDescent="0.2">
      <c r="A589" s="1164"/>
      <c r="B589" s="1164"/>
      <c r="D589" s="1224"/>
    </row>
    <row r="590" spans="1:4" x14ac:dyDescent="0.2">
      <c r="A590" s="1164"/>
      <c r="B590" s="1164"/>
      <c r="D590" s="1224"/>
    </row>
    <row r="591" spans="1:4" x14ac:dyDescent="0.2">
      <c r="A591" s="1164"/>
      <c r="B591" s="1164"/>
      <c r="D591" s="1224"/>
    </row>
    <row r="592" spans="1:4" x14ac:dyDescent="0.2">
      <c r="A592" s="1164"/>
      <c r="B592" s="1164"/>
      <c r="D592" s="1224"/>
    </row>
    <row r="593" spans="1:4" x14ac:dyDescent="0.2">
      <c r="A593" s="1164"/>
      <c r="B593" s="1164"/>
      <c r="D593" s="1224"/>
    </row>
    <row r="594" spans="1:4" x14ac:dyDescent="0.2">
      <c r="A594" s="1164"/>
      <c r="B594" s="1164"/>
      <c r="D594" s="1224"/>
    </row>
    <row r="595" spans="1:4" x14ac:dyDescent="0.2">
      <c r="A595" s="1164"/>
      <c r="B595" s="1164"/>
      <c r="D595" s="1224"/>
    </row>
    <row r="596" spans="1:4" x14ac:dyDescent="0.2">
      <c r="A596" s="1164"/>
      <c r="B596" s="1164"/>
      <c r="D596" s="1224"/>
    </row>
    <row r="597" spans="1:4" x14ac:dyDescent="0.2">
      <c r="A597" s="1164"/>
      <c r="B597" s="1164"/>
      <c r="D597" s="1224"/>
    </row>
    <row r="598" spans="1:4" x14ac:dyDescent="0.2">
      <c r="A598" s="1164"/>
      <c r="B598" s="1164"/>
      <c r="D598" s="1224"/>
    </row>
    <row r="599" spans="1:4" x14ac:dyDescent="0.2">
      <c r="A599" s="1164"/>
      <c r="B599" s="1164"/>
      <c r="D599" s="1224"/>
    </row>
    <row r="600" spans="1:4" x14ac:dyDescent="0.2">
      <c r="A600" s="1164"/>
      <c r="B600" s="1164"/>
      <c r="D600" s="1224"/>
    </row>
    <row r="601" spans="1:4" x14ac:dyDescent="0.2">
      <c r="A601" s="1164"/>
      <c r="B601" s="1164"/>
      <c r="D601" s="1224"/>
    </row>
    <row r="602" spans="1:4" x14ac:dyDescent="0.2">
      <c r="A602" s="1164"/>
      <c r="B602" s="1164"/>
      <c r="D602" s="1224"/>
    </row>
    <row r="603" spans="1:4" x14ac:dyDescent="0.2">
      <c r="A603" s="1164"/>
      <c r="B603" s="1164"/>
      <c r="D603" s="1224"/>
    </row>
    <row r="604" spans="1:4" x14ac:dyDescent="0.2">
      <c r="A604" s="1164"/>
      <c r="B604" s="1164"/>
      <c r="D604" s="1224"/>
    </row>
    <row r="605" spans="1:4" x14ac:dyDescent="0.2">
      <c r="A605" s="1164"/>
      <c r="B605" s="1164"/>
      <c r="D605" s="1224"/>
    </row>
    <row r="606" spans="1:4" x14ac:dyDescent="0.2">
      <c r="A606" s="1164"/>
      <c r="B606" s="1164"/>
      <c r="D606" s="1224"/>
    </row>
    <row r="607" spans="1:4" x14ac:dyDescent="0.2">
      <c r="A607" s="1164"/>
      <c r="B607" s="1164"/>
      <c r="D607" s="1224"/>
    </row>
    <row r="608" spans="1:4" x14ac:dyDescent="0.2">
      <c r="A608" s="1164"/>
      <c r="B608" s="1164"/>
      <c r="D608" s="1224"/>
    </row>
    <row r="609" spans="1:4" x14ac:dyDescent="0.2">
      <c r="A609" s="1164"/>
      <c r="B609" s="1164"/>
      <c r="D609" s="1224"/>
    </row>
    <row r="610" spans="1:4" x14ac:dyDescent="0.2">
      <c r="A610" s="1164"/>
      <c r="B610" s="1164"/>
      <c r="D610" s="1224"/>
    </row>
    <row r="611" spans="1:4" x14ac:dyDescent="0.2">
      <c r="A611" s="1164"/>
      <c r="B611" s="1164"/>
      <c r="D611" s="1224"/>
    </row>
    <row r="612" spans="1:4" x14ac:dyDescent="0.2">
      <c r="A612" s="1164"/>
      <c r="B612" s="1164"/>
      <c r="D612" s="1224"/>
    </row>
    <row r="613" spans="1:4" x14ac:dyDescent="0.2">
      <c r="A613" s="1164"/>
      <c r="B613" s="1164"/>
      <c r="D613" s="1224"/>
    </row>
    <row r="614" spans="1:4" x14ac:dyDescent="0.2">
      <c r="A614" s="1164"/>
      <c r="B614" s="1164"/>
      <c r="D614" s="1224"/>
    </row>
    <row r="615" spans="1:4" x14ac:dyDescent="0.2">
      <c r="A615" s="1164"/>
      <c r="B615" s="1164"/>
      <c r="D615" s="1224"/>
    </row>
    <row r="616" spans="1:4" x14ac:dyDescent="0.2">
      <c r="A616" s="1164"/>
      <c r="B616" s="1164"/>
      <c r="D616" s="1224"/>
    </row>
    <row r="617" spans="1:4" x14ac:dyDescent="0.2">
      <c r="A617" s="1164"/>
      <c r="B617" s="1164"/>
      <c r="D617" s="1224"/>
    </row>
    <row r="618" spans="1:4" x14ac:dyDescent="0.2">
      <c r="A618" s="1164"/>
      <c r="B618" s="1164"/>
      <c r="D618" s="1224"/>
    </row>
    <row r="619" spans="1:4" x14ac:dyDescent="0.2">
      <c r="A619" s="1164"/>
      <c r="B619" s="1164"/>
      <c r="D619" s="1224"/>
    </row>
    <row r="620" spans="1:4" x14ac:dyDescent="0.2">
      <c r="A620" s="1164"/>
      <c r="B620" s="1164"/>
      <c r="D620" s="1224"/>
    </row>
    <row r="621" spans="1:4" x14ac:dyDescent="0.2">
      <c r="A621" s="1164"/>
      <c r="B621" s="1164"/>
      <c r="D621" s="1224"/>
    </row>
    <row r="622" spans="1:4" x14ac:dyDescent="0.2">
      <c r="A622" s="1164"/>
      <c r="B622" s="1164"/>
      <c r="D622" s="1224"/>
    </row>
    <row r="623" spans="1:4" x14ac:dyDescent="0.2">
      <c r="A623" s="1164"/>
      <c r="B623" s="1164"/>
      <c r="D623" s="1224"/>
    </row>
    <row r="624" spans="1:4" x14ac:dyDescent="0.2">
      <c r="A624" s="1164"/>
      <c r="B624" s="1164"/>
      <c r="D624" s="1224"/>
    </row>
    <row r="625" spans="1:4" x14ac:dyDescent="0.2">
      <c r="A625" s="1164"/>
      <c r="B625" s="1164"/>
      <c r="D625" s="1224"/>
    </row>
    <row r="626" spans="1:4" x14ac:dyDescent="0.2">
      <c r="A626" s="1164"/>
      <c r="B626" s="1164"/>
      <c r="D626" s="1224"/>
    </row>
    <row r="627" spans="1:4" x14ac:dyDescent="0.2">
      <c r="A627" s="1164"/>
      <c r="B627" s="1164"/>
      <c r="D627" s="1224"/>
    </row>
    <row r="628" spans="1:4" x14ac:dyDescent="0.2">
      <c r="A628" s="1164"/>
      <c r="B628" s="1164"/>
      <c r="D628" s="1224"/>
    </row>
    <row r="629" spans="1:4" x14ac:dyDescent="0.2">
      <c r="A629" s="1164"/>
      <c r="B629" s="1164"/>
      <c r="D629" s="1224"/>
    </row>
    <row r="630" spans="1:4" x14ac:dyDescent="0.2">
      <c r="A630" s="1164"/>
      <c r="B630" s="1164"/>
      <c r="D630" s="1224"/>
    </row>
    <row r="631" spans="1:4" x14ac:dyDescent="0.2">
      <c r="A631" s="1164"/>
      <c r="B631" s="1164"/>
      <c r="D631" s="1224"/>
    </row>
    <row r="632" spans="1:4" x14ac:dyDescent="0.2">
      <c r="A632" s="1164"/>
      <c r="B632" s="1164"/>
      <c r="D632" s="1224"/>
    </row>
    <row r="633" spans="1:4" x14ac:dyDescent="0.2">
      <c r="A633" s="1164"/>
      <c r="B633" s="1164"/>
      <c r="D633" s="1224"/>
    </row>
    <row r="634" spans="1:4" x14ac:dyDescent="0.2">
      <c r="A634" s="1164"/>
      <c r="B634" s="1164"/>
      <c r="D634" s="1224"/>
    </row>
    <row r="635" spans="1:4" x14ac:dyDescent="0.2">
      <c r="A635" s="1164"/>
      <c r="B635" s="1164"/>
      <c r="D635" s="1224"/>
    </row>
    <row r="636" spans="1:4" x14ac:dyDescent="0.2">
      <c r="A636" s="1164"/>
      <c r="B636" s="1164"/>
      <c r="D636" s="1224"/>
    </row>
    <row r="637" spans="1:4" x14ac:dyDescent="0.2">
      <c r="A637" s="1164"/>
      <c r="B637" s="1164"/>
      <c r="D637" s="1224"/>
    </row>
    <row r="638" spans="1:4" x14ac:dyDescent="0.2">
      <c r="A638" s="1164"/>
      <c r="B638" s="1164"/>
      <c r="D638" s="1224"/>
    </row>
    <row r="639" spans="1:4" x14ac:dyDescent="0.2">
      <c r="A639" s="1164"/>
      <c r="B639" s="1164"/>
      <c r="D639" s="1224"/>
    </row>
    <row r="640" spans="1:4" x14ac:dyDescent="0.2">
      <c r="A640" s="1164"/>
      <c r="B640" s="1164"/>
      <c r="D640" s="1224"/>
    </row>
    <row r="641" spans="1:4" x14ac:dyDescent="0.2">
      <c r="A641" s="1164"/>
      <c r="B641" s="1164"/>
      <c r="D641" s="1224"/>
    </row>
    <row r="642" spans="1:4" x14ac:dyDescent="0.2">
      <c r="A642" s="1164"/>
      <c r="B642" s="1164"/>
      <c r="D642" s="1224"/>
    </row>
    <row r="643" spans="1:4" x14ac:dyDescent="0.2">
      <c r="A643" s="1164"/>
      <c r="B643" s="1164"/>
      <c r="D643" s="1224"/>
    </row>
    <row r="644" spans="1:4" x14ac:dyDescent="0.2">
      <c r="A644" s="1164"/>
      <c r="B644" s="1164"/>
      <c r="D644" s="1224"/>
    </row>
    <row r="645" spans="1:4" x14ac:dyDescent="0.2">
      <c r="A645" s="1164"/>
      <c r="B645" s="1164"/>
      <c r="D645" s="1224"/>
    </row>
    <row r="646" spans="1:4" x14ac:dyDescent="0.2">
      <c r="A646" s="1164"/>
      <c r="B646" s="1164"/>
      <c r="D646" s="1224"/>
    </row>
    <row r="647" spans="1:4" x14ac:dyDescent="0.2">
      <c r="A647" s="1164"/>
      <c r="B647" s="1164"/>
      <c r="D647" s="1224"/>
    </row>
    <row r="648" spans="1:4" x14ac:dyDescent="0.2">
      <c r="A648" s="1164"/>
      <c r="B648" s="1164"/>
      <c r="D648" s="1224"/>
    </row>
    <row r="649" spans="1:4" x14ac:dyDescent="0.2">
      <c r="A649" s="1164"/>
      <c r="B649" s="1164"/>
      <c r="D649" s="1224"/>
    </row>
    <row r="650" spans="1:4" x14ac:dyDescent="0.2">
      <c r="A650" s="1164"/>
      <c r="B650" s="1164"/>
      <c r="D650" s="1224"/>
    </row>
    <row r="651" spans="1:4" x14ac:dyDescent="0.2">
      <c r="A651" s="1164"/>
      <c r="B651" s="1164"/>
      <c r="D651" s="1224"/>
    </row>
    <row r="652" spans="1:4" x14ac:dyDescent="0.2">
      <c r="A652" s="1164"/>
      <c r="B652" s="1164"/>
      <c r="D652" s="1224"/>
    </row>
    <row r="653" spans="1:4" x14ac:dyDescent="0.2">
      <c r="A653" s="1164"/>
      <c r="B653" s="1164"/>
      <c r="D653" s="1224"/>
    </row>
    <row r="654" spans="1:4" x14ac:dyDescent="0.2">
      <c r="A654" s="1164"/>
      <c r="B654" s="1164"/>
      <c r="D654" s="1224"/>
    </row>
    <row r="655" spans="1:4" x14ac:dyDescent="0.2">
      <c r="A655" s="1164"/>
      <c r="B655" s="1164"/>
      <c r="D655" s="1224"/>
    </row>
    <row r="656" spans="1:4" x14ac:dyDescent="0.2">
      <c r="A656" s="1164"/>
      <c r="B656" s="1164"/>
      <c r="D656" s="1224"/>
    </row>
    <row r="657" spans="1:4" x14ac:dyDescent="0.2">
      <c r="A657" s="1164"/>
      <c r="B657" s="1164"/>
      <c r="D657" s="1224"/>
    </row>
    <row r="658" spans="1:4" x14ac:dyDescent="0.2">
      <c r="A658" s="1164"/>
      <c r="B658" s="1164"/>
      <c r="D658" s="1224"/>
    </row>
    <row r="659" spans="1:4" x14ac:dyDescent="0.2">
      <c r="A659" s="1164"/>
      <c r="B659" s="1164"/>
      <c r="D659" s="1224"/>
    </row>
    <row r="660" spans="1:4" x14ac:dyDescent="0.2">
      <c r="A660" s="1164"/>
      <c r="B660" s="1164"/>
      <c r="D660" s="1224"/>
    </row>
    <row r="661" spans="1:4" x14ac:dyDescent="0.2">
      <c r="A661" s="1164"/>
      <c r="B661" s="1164"/>
      <c r="D661" s="1224"/>
    </row>
    <row r="662" spans="1:4" x14ac:dyDescent="0.2">
      <c r="A662" s="1164"/>
      <c r="B662" s="1164"/>
      <c r="D662" s="1224"/>
    </row>
    <row r="663" spans="1:4" x14ac:dyDescent="0.2">
      <c r="A663" s="1164"/>
      <c r="B663" s="1164"/>
      <c r="D663" s="1224"/>
    </row>
    <row r="664" spans="1:4" x14ac:dyDescent="0.2">
      <c r="A664" s="1164"/>
      <c r="B664" s="1164"/>
      <c r="D664" s="1224"/>
    </row>
    <row r="665" spans="1:4" x14ac:dyDescent="0.2">
      <c r="A665" s="1164"/>
      <c r="B665" s="1164"/>
      <c r="D665" s="1224"/>
    </row>
    <row r="666" spans="1:4" x14ac:dyDescent="0.2">
      <c r="A666" s="1164"/>
      <c r="B666" s="1164"/>
      <c r="D666" s="1224"/>
    </row>
    <row r="667" spans="1:4" x14ac:dyDescent="0.2">
      <c r="A667" s="1164"/>
      <c r="B667" s="1164"/>
      <c r="D667" s="1224"/>
    </row>
    <row r="668" spans="1:4" x14ac:dyDescent="0.2">
      <c r="A668" s="1164"/>
      <c r="B668" s="1164"/>
      <c r="D668" s="1224"/>
    </row>
    <row r="669" spans="1:4" x14ac:dyDescent="0.2">
      <c r="A669" s="1164"/>
      <c r="B669" s="1164"/>
      <c r="D669" s="1224"/>
    </row>
    <row r="670" spans="1:4" x14ac:dyDescent="0.2">
      <c r="A670" s="1164"/>
      <c r="B670" s="1164"/>
      <c r="D670" s="1224"/>
    </row>
    <row r="671" spans="1:4" x14ac:dyDescent="0.2">
      <c r="A671" s="1164"/>
      <c r="B671" s="1164"/>
      <c r="D671" s="1224"/>
    </row>
    <row r="672" spans="1:4" x14ac:dyDescent="0.2">
      <c r="A672" s="1164"/>
      <c r="B672" s="1164"/>
      <c r="D672" s="1224"/>
    </row>
    <row r="673" spans="1:4" x14ac:dyDescent="0.2">
      <c r="A673" s="1164"/>
      <c r="B673" s="1164"/>
      <c r="D673" s="1224"/>
    </row>
    <row r="674" spans="1:4" x14ac:dyDescent="0.2">
      <c r="A674" s="1164"/>
      <c r="B674" s="1164"/>
      <c r="D674" s="1224"/>
    </row>
    <row r="675" spans="1:4" x14ac:dyDescent="0.2">
      <c r="A675" s="1164"/>
      <c r="B675" s="1164"/>
      <c r="D675" s="1224"/>
    </row>
    <row r="676" spans="1:4" x14ac:dyDescent="0.2">
      <c r="A676" s="1164"/>
      <c r="B676" s="1164"/>
      <c r="D676" s="1224"/>
    </row>
    <row r="677" spans="1:4" x14ac:dyDescent="0.2">
      <c r="A677" s="1164"/>
      <c r="B677" s="1164"/>
      <c r="D677" s="1224"/>
    </row>
    <row r="678" spans="1:4" x14ac:dyDescent="0.2">
      <c r="A678" s="1164"/>
      <c r="B678" s="1164"/>
      <c r="D678" s="1224"/>
    </row>
    <row r="679" spans="1:4" x14ac:dyDescent="0.2">
      <c r="A679" s="1164"/>
      <c r="B679" s="1164"/>
      <c r="D679" s="1224"/>
    </row>
    <row r="680" spans="1:4" x14ac:dyDescent="0.2">
      <c r="A680" s="1164"/>
      <c r="B680" s="1164"/>
      <c r="D680" s="1224"/>
    </row>
    <row r="681" spans="1:4" x14ac:dyDescent="0.2">
      <c r="A681" s="1164"/>
      <c r="B681" s="1164"/>
      <c r="D681" s="1224"/>
    </row>
    <row r="682" spans="1:4" x14ac:dyDescent="0.2">
      <c r="A682" s="1164"/>
      <c r="B682" s="1164"/>
      <c r="D682" s="1224"/>
    </row>
    <row r="683" spans="1:4" x14ac:dyDescent="0.2">
      <c r="A683" s="1164"/>
      <c r="B683" s="1164"/>
      <c r="D683" s="1224"/>
    </row>
    <row r="684" spans="1:4" x14ac:dyDescent="0.2">
      <c r="A684" s="1164"/>
      <c r="B684" s="1164"/>
      <c r="D684" s="1224"/>
    </row>
    <row r="685" spans="1:4" x14ac:dyDescent="0.2">
      <c r="A685" s="1164"/>
      <c r="B685" s="1164"/>
      <c r="D685" s="1224"/>
    </row>
    <row r="686" spans="1:4" x14ac:dyDescent="0.2">
      <c r="A686" s="1164"/>
      <c r="B686" s="1164"/>
      <c r="D686" s="1224"/>
    </row>
    <row r="687" spans="1:4" x14ac:dyDescent="0.2">
      <c r="A687" s="1164"/>
      <c r="B687" s="1164"/>
      <c r="D687" s="1224"/>
    </row>
    <row r="688" spans="1:4" x14ac:dyDescent="0.2">
      <c r="A688" s="1164"/>
      <c r="B688" s="1164"/>
      <c r="D688" s="1224"/>
    </row>
    <row r="689" spans="1:4" x14ac:dyDescent="0.2">
      <c r="A689" s="1164"/>
      <c r="B689" s="1164"/>
      <c r="D689" s="1224"/>
    </row>
    <row r="690" spans="1:4" x14ac:dyDescent="0.2">
      <c r="A690" s="1164"/>
      <c r="B690" s="1164"/>
      <c r="D690" s="1224"/>
    </row>
    <row r="691" spans="1:4" x14ac:dyDescent="0.2">
      <c r="A691" s="1164"/>
      <c r="B691" s="1164"/>
      <c r="D691" s="1224"/>
    </row>
    <row r="692" spans="1:4" x14ac:dyDescent="0.2">
      <c r="A692" s="1164"/>
      <c r="B692" s="1164"/>
      <c r="D692" s="1224"/>
    </row>
    <row r="693" spans="1:4" x14ac:dyDescent="0.2">
      <c r="A693" s="1164"/>
      <c r="B693" s="1164"/>
      <c r="D693" s="1224"/>
    </row>
    <row r="694" spans="1:4" x14ac:dyDescent="0.2">
      <c r="A694" s="1164"/>
      <c r="B694" s="1164"/>
      <c r="D694" s="1224"/>
    </row>
    <row r="695" spans="1:4" x14ac:dyDescent="0.2">
      <c r="A695" s="1164"/>
      <c r="B695" s="1164"/>
      <c r="D695" s="1224"/>
    </row>
    <row r="696" spans="1:4" x14ac:dyDescent="0.2">
      <c r="A696" s="1164"/>
      <c r="B696" s="1164"/>
      <c r="D696" s="1224"/>
    </row>
    <row r="697" spans="1:4" x14ac:dyDescent="0.2">
      <c r="A697" s="1164"/>
      <c r="B697" s="1164"/>
      <c r="D697" s="1224"/>
    </row>
    <row r="698" spans="1:4" x14ac:dyDescent="0.2">
      <c r="A698" s="1164"/>
      <c r="B698" s="1164"/>
      <c r="D698" s="1224"/>
    </row>
    <row r="699" spans="1:4" x14ac:dyDescent="0.2">
      <c r="A699" s="1164"/>
      <c r="B699" s="1164"/>
      <c r="D699" s="1224"/>
    </row>
    <row r="700" spans="1:4" x14ac:dyDescent="0.2">
      <c r="A700" s="1164"/>
      <c r="B700" s="1164"/>
      <c r="D700" s="1224"/>
    </row>
    <row r="701" spans="1:4" x14ac:dyDescent="0.2">
      <c r="A701" s="1164"/>
      <c r="B701" s="1164"/>
      <c r="D701" s="1224"/>
    </row>
    <row r="702" spans="1:4" x14ac:dyDescent="0.2">
      <c r="A702" s="1164"/>
      <c r="B702" s="1164"/>
      <c r="D702" s="1224"/>
    </row>
    <row r="703" spans="1:4" x14ac:dyDescent="0.2">
      <c r="A703" s="1164"/>
      <c r="B703" s="1164"/>
      <c r="D703" s="1224"/>
    </row>
    <row r="704" spans="1:4" x14ac:dyDescent="0.2">
      <c r="A704" s="1164"/>
      <c r="B704" s="1164"/>
      <c r="D704" s="1224"/>
    </row>
    <row r="705" spans="1:4" x14ac:dyDescent="0.2">
      <c r="A705" s="1164"/>
      <c r="B705" s="1164"/>
      <c r="D705" s="1224"/>
    </row>
    <row r="706" spans="1:4" x14ac:dyDescent="0.2">
      <c r="A706" s="1164"/>
      <c r="B706" s="1164"/>
      <c r="D706" s="1224"/>
    </row>
    <row r="707" spans="1:4" x14ac:dyDescent="0.2">
      <c r="A707" s="1164"/>
      <c r="B707" s="1164"/>
      <c r="D707" s="1224"/>
    </row>
    <row r="708" spans="1:4" x14ac:dyDescent="0.2">
      <c r="A708" s="1164"/>
      <c r="B708" s="1164"/>
      <c r="D708" s="1224"/>
    </row>
    <row r="709" spans="1:4" x14ac:dyDescent="0.2">
      <c r="A709" s="1164"/>
      <c r="B709" s="1164"/>
      <c r="D709" s="1224"/>
    </row>
    <row r="710" spans="1:4" x14ac:dyDescent="0.2">
      <c r="A710" s="1164"/>
      <c r="B710" s="1164"/>
      <c r="D710" s="1224"/>
    </row>
    <row r="711" spans="1:4" x14ac:dyDescent="0.2">
      <c r="A711" s="1164"/>
      <c r="B711" s="1164"/>
      <c r="D711" s="1224"/>
    </row>
    <row r="712" spans="1:4" x14ac:dyDescent="0.2">
      <c r="A712" s="1164"/>
      <c r="B712" s="1164"/>
      <c r="D712" s="1224"/>
    </row>
    <row r="713" spans="1:4" x14ac:dyDescent="0.2">
      <c r="A713" s="1164"/>
      <c r="B713" s="1164"/>
      <c r="D713" s="1224"/>
    </row>
    <row r="714" spans="1:4" x14ac:dyDescent="0.2">
      <c r="A714" s="1164"/>
      <c r="B714" s="1164"/>
      <c r="D714" s="1224"/>
    </row>
    <row r="715" spans="1:4" x14ac:dyDescent="0.2">
      <c r="A715" s="1164"/>
      <c r="B715" s="1164"/>
      <c r="D715" s="1224"/>
    </row>
    <row r="716" spans="1:4" x14ac:dyDescent="0.2">
      <c r="A716" s="1164"/>
      <c r="B716" s="1164"/>
      <c r="D716" s="1224"/>
    </row>
    <row r="717" spans="1:4" x14ac:dyDescent="0.2">
      <c r="A717" s="1164"/>
      <c r="B717" s="1164"/>
      <c r="D717" s="1224"/>
    </row>
    <row r="718" spans="1:4" x14ac:dyDescent="0.2">
      <c r="A718" s="1164"/>
      <c r="B718" s="1164"/>
      <c r="D718" s="1224"/>
    </row>
    <row r="719" spans="1:4" x14ac:dyDescent="0.2">
      <c r="A719" s="1164"/>
      <c r="B719" s="1164"/>
      <c r="D719" s="1224"/>
    </row>
    <row r="720" spans="1:4" x14ac:dyDescent="0.2">
      <c r="A720" s="1164"/>
      <c r="B720" s="1164"/>
      <c r="D720" s="1224"/>
    </row>
    <row r="721" spans="1:4" x14ac:dyDescent="0.2">
      <c r="A721" s="1164"/>
      <c r="B721" s="1164"/>
      <c r="D721" s="1224"/>
    </row>
    <row r="722" spans="1:4" x14ac:dyDescent="0.2">
      <c r="A722" s="1164"/>
      <c r="B722" s="1164"/>
      <c r="D722" s="1224"/>
    </row>
    <row r="723" spans="1:4" x14ac:dyDescent="0.2">
      <c r="A723" s="1164"/>
      <c r="B723" s="1164"/>
      <c r="D723" s="1224"/>
    </row>
    <row r="724" spans="1:4" x14ac:dyDescent="0.2">
      <c r="A724" s="1164"/>
      <c r="B724" s="1164"/>
      <c r="D724" s="1224"/>
    </row>
    <row r="725" spans="1:4" x14ac:dyDescent="0.2">
      <c r="A725" s="1164"/>
      <c r="B725" s="1164"/>
      <c r="D725" s="1224"/>
    </row>
    <row r="726" spans="1:4" x14ac:dyDescent="0.2">
      <c r="A726" s="1164"/>
      <c r="B726" s="1164"/>
      <c r="D726" s="1224"/>
    </row>
    <row r="727" spans="1:4" x14ac:dyDescent="0.2">
      <c r="A727" s="1164"/>
      <c r="B727" s="1164"/>
      <c r="D727" s="1224"/>
    </row>
    <row r="728" spans="1:4" x14ac:dyDescent="0.2">
      <c r="A728" s="1164"/>
      <c r="B728" s="1164"/>
      <c r="D728" s="1224"/>
    </row>
    <row r="729" spans="1:4" x14ac:dyDescent="0.2">
      <c r="A729" s="1164"/>
      <c r="B729" s="1164"/>
      <c r="D729" s="1224"/>
    </row>
    <row r="730" spans="1:4" x14ac:dyDescent="0.2">
      <c r="A730" s="1164"/>
      <c r="B730" s="1164"/>
      <c r="D730" s="1224"/>
    </row>
    <row r="731" spans="1:4" x14ac:dyDescent="0.2">
      <c r="A731" s="1164"/>
      <c r="B731" s="1164"/>
      <c r="D731" s="1224"/>
    </row>
    <row r="732" spans="1:4" x14ac:dyDescent="0.2">
      <c r="A732" s="1164"/>
      <c r="B732" s="1164"/>
      <c r="D732" s="1224"/>
    </row>
    <row r="733" spans="1:4" x14ac:dyDescent="0.2">
      <c r="A733" s="1164"/>
      <c r="B733" s="1164"/>
      <c r="D733" s="1224"/>
    </row>
    <row r="734" spans="1:4" x14ac:dyDescent="0.2">
      <c r="A734" s="1164"/>
      <c r="B734" s="1164"/>
      <c r="D734" s="1224"/>
    </row>
    <row r="735" spans="1:4" x14ac:dyDescent="0.2">
      <c r="A735" s="1164"/>
      <c r="B735" s="1164"/>
      <c r="D735" s="1224"/>
    </row>
    <row r="736" spans="1:4" x14ac:dyDescent="0.2">
      <c r="A736" s="1164"/>
      <c r="B736" s="1164"/>
      <c r="D736" s="1224"/>
    </row>
    <row r="737" spans="1:4" x14ac:dyDescent="0.2">
      <c r="A737" s="1164"/>
      <c r="B737" s="1164"/>
      <c r="D737" s="1224"/>
    </row>
    <row r="738" spans="1:4" x14ac:dyDescent="0.2">
      <c r="A738" s="1164"/>
      <c r="B738" s="1164"/>
      <c r="D738" s="1224"/>
    </row>
    <row r="739" spans="1:4" x14ac:dyDescent="0.2">
      <c r="A739" s="1164"/>
      <c r="B739" s="1164"/>
      <c r="D739" s="1224"/>
    </row>
    <row r="740" spans="1:4" x14ac:dyDescent="0.2">
      <c r="A740" s="1164"/>
      <c r="B740" s="1164"/>
      <c r="D740" s="1224"/>
    </row>
    <row r="741" spans="1:4" x14ac:dyDescent="0.2">
      <c r="A741" s="1164"/>
      <c r="B741" s="1164"/>
      <c r="D741" s="1224"/>
    </row>
    <row r="742" spans="1:4" x14ac:dyDescent="0.2">
      <c r="A742" s="1164"/>
      <c r="B742" s="1164"/>
      <c r="D742" s="1224"/>
    </row>
    <row r="743" spans="1:4" x14ac:dyDescent="0.2">
      <c r="A743" s="1164"/>
      <c r="B743" s="1164"/>
      <c r="D743" s="1224"/>
    </row>
    <row r="744" spans="1:4" x14ac:dyDescent="0.2">
      <c r="A744" s="1164"/>
      <c r="B744" s="1164"/>
      <c r="D744" s="1224"/>
    </row>
    <row r="745" spans="1:4" x14ac:dyDescent="0.2">
      <c r="A745" s="1164"/>
      <c r="B745" s="1164"/>
      <c r="D745" s="1224"/>
    </row>
    <row r="746" spans="1:4" x14ac:dyDescent="0.2">
      <c r="A746" s="1164"/>
      <c r="B746" s="1164"/>
      <c r="D746" s="1224"/>
    </row>
    <row r="747" spans="1:4" x14ac:dyDescent="0.2">
      <c r="A747" s="1164"/>
      <c r="B747" s="1164"/>
      <c r="D747" s="1224"/>
    </row>
    <row r="748" spans="1:4" x14ac:dyDescent="0.2">
      <c r="A748" s="1164"/>
      <c r="B748" s="1164"/>
      <c r="D748" s="1224"/>
    </row>
    <row r="749" spans="1:4" x14ac:dyDescent="0.2">
      <c r="A749" s="1164"/>
      <c r="B749" s="1164"/>
      <c r="D749" s="1224"/>
    </row>
    <row r="750" spans="1:4" x14ac:dyDescent="0.2">
      <c r="A750" s="1164"/>
      <c r="B750" s="1164"/>
      <c r="D750" s="1224"/>
    </row>
    <row r="751" spans="1:4" x14ac:dyDescent="0.2">
      <c r="A751" s="1164"/>
      <c r="B751" s="1164"/>
      <c r="D751" s="1224"/>
    </row>
    <row r="752" spans="1:4" x14ac:dyDescent="0.2">
      <c r="A752" s="1164"/>
      <c r="B752" s="1164"/>
      <c r="D752" s="1224"/>
    </row>
    <row r="753" spans="1:4" x14ac:dyDescent="0.2">
      <c r="A753" s="1164"/>
      <c r="B753" s="1164"/>
      <c r="D753" s="1224"/>
    </row>
    <row r="754" spans="1:4" x14ac:dyDescent="0.2">
      <c r="A754" s="1164"/>
      <c r="B754" s="1164"/>
      <c r="D754" s="1224"/>
    </row>
    <row r="755" spans="1:4" x14ac:dyDescent="0.2">
      <c r="A755" s="1164"/>
      <c r="B755" s="1164"/>
      <c r="D755" s="1224"/>
    </row>
    <row r="756" spans="1:4" x14ac:dyDescent="0.2">
      <c r="A756" s="1164"/>
      <c r="B756" s="1164"/>
      <c r="D756" s="1224"/>
    </row>
    <row r="757" spans="1:4" x14ac:dyDescent="0.2">
      <c r="A757" s="1164"/>
      <c r="B757" s="1164"/>
      <c r="D757" s="1224"/>
    </row>
    <row r="758" spans="1:4" x14ac:dyDescent="0.2">
      <c r="A758" s="1164"/>
      <c r="B758" s="1164"/>
      <c r="D758" s="1224"/>
    </row>
    <row r="759" spans="1:4" x14ac:dyDescent="0.2">
      <c r="A759" s="1164"/>
      <c r="B759" s="1164"/>
      <c r="D759" s="1224"/>
    </row>
    <row r="760" spans="1:4" x14ac:dyDescent="0.2">
      <c r="A760" s="1164"/>
      <c r="B760" s="1164"/>
      <c r="D760" s="1224"/>
    </row>
    <row r="761" spans="1:4" x14ac:dyDescent="0.2">
      <c r="A761" s="1164"/>
      <c r="B761" s="1164"/>
      <c r="D761" s="1224"/>
    </row>
    <row r="762" spans="1:4" x14ac:dyDescent="0.2">
      <c r="A762" s="1164"/>
      <c r="B762" s="1164"/>
      <c r="D762" s="1224"/>
    </row>
    <row r="763" spans="1:4" x14ac:dyDescent="0.2">
      <c r="A763" s="1164"/>
      <c r="B763" s="1164"/>
      <c r="D763" s="1224"/>
    </row>
    <row r="764" spans="1:4" x14ac:dyDescent="0.2">
      <c r="A764" s="1164"/>
      <c r="B764" s="1164"/>
      <c r="D764" s="1224"/>
    </row>
    <row r="765" spans="1:4" x14ac:dyDescent="0.2">
      <c r="A765" s="1164"/>
      <c r="B765" s="1164"/>
      <c r="D765" s="1224"/>
    </row>
    <row r="766" spans="1:4" x14ac:dyDescent="0.2">
      <c r="A766" s="1164"/>
      <c r="B766" s="1164"/>
      <c r="D766" s="1224"/>
    </row>
    <row r="767" spans="1:4" x14ac:dyDescent="0.2">
      <c r="A767" s="1164"/>
      <c r="B767" s="1164"/>
      <c r="D767" s="1224"/>
    </row>
    <row r="768" spans="1:4" x14ac:dyDescent="0.2">
      <c r="A768" s="1164"/>
      <c r="B768" s="1164"/>
      <c r="D768" s="1224"/>
    </row>
    <row r="769" spans="1:4" x14ac:dyDescent="0.2">
      <c r="A769" s="1164"/>
      <c r="B769" s="1164"/>
      <c r="D769" s="1224"/>
    </row>
    <row r="770" spans="1:4" x14ac:dyDescent="0.2">
      <c r="A770" s="1164"/>
      <c r="B770" s="1164"/>
      <c r="D770" s="1224"/>
    </row>
    <row r="771" spans="1:4" x14ac:dyDescent="0.2">
      <c r="A771" s="1164"/>
      <c r="B771" s="1164"/>
      <c r="D771" s="1224"/>
    </row>
    <row r="772" spans="1:4" x14ac:dyDescent="0.2">
      <c r="A772" s="1164"/>
      <c r="B772" s="1164"/>
      <c r="D772" s="1224"/>
    </row>
    <row r="773" spans="1:4" x14ac:dyDescent="0.2">
      <c r="A773" s="1164"/>
      <c r="B773" s="1164"/>
      <c r="D773" s="1224"/>
    </row>
    <row r="774" spans="1:4" x14ac:dyDescent="0.2">
      <c r="A774" s="1164"/>
      <c r="B774" s="1164"/>
      <c r="D774" s="1224"/>
    </row>
    <row r="775" spans="1:4" x14ac:dyDescent="0.2">
      <c r="A775" s="1164"/>
      <c r="B775" s="1164"/>
      <c r="D775" s="1224"/>
    </row>
    <row r="776" spans="1:4" x14ac:dyDescent="0.2">
      <c r="A776" s="1164"/>
      <c r="B776" s="1164"/>
      <c r="D776" s="1224"/>
    </row>
    <row r="777" spans="1:4" x14ac:dyDescent="0.2">
      <c r="A777" s="1164"/>
      <c r="B777" s="1164"/>
      <c r="D777" s="1224"/>
    </row>
    <row r="778" spans="1:4" x14ac:dyDescent="0.2">
      <c r="A778" s="1164"/>
      <c r="B778" s="1164"/>
      <c r="D778" s="1224"/>
    </row>
    <row r="779" spans="1:4" x14ac:dyDescent="0.2">
      <c r="A779" s="1164"/>
      <c r="B779" s="1164"/>
      <c r="D779" s="1224"/>
    </row>
    <row r="780" spans="1:4" x14ac:dyDescent="0.2">
      <c r="A780" s="1164"/>
      <c r="B780" s="1164"/>
      <c r="D780" s="1224"/>
    </row>
    <row r="781" spans="1:4" x14ac:dyDescent="0.2">
      <c r="A781" s="1164"/>
      <c r="B781" s="1164"/>
      <c r="D781" s="1224"/>
    </row>
    <row r="782" spans="1:4" x14ac:dyDescent="0.2">
      <c r="A782" s="1164"/>
      <c r="B782" s="1164"/>
      <c r="D782" s="1224"/>
    </row>
    <row r="783" spans="1:4" x14ac:dyDescent="0.2">
      <c r="A783" s="1164"/>
      <c r="B783" s="1164"/>
      <c r="D783" s="1224"/>
    </row>
    <row r="784" spans="1:4" x14ac:dyDescent="0.2">
      <c r="A784" s="1164"/>
      <c r="B784" s="1164"/>
      <c r="D784" s="1224"/>
    </row>
    <row r="785" spans="1:4" x14ac:dyDescent="0.2">
      <c r="A785" s="1164"/>
      <c r="B785" s="1164"/>
      <c r="D785" s="1224"/>
    </row>
    <row r="786" spans="1:4" x14ac:dyDescent="0.2">
      <c r="A786" s="1164"/>
      <c r="B786" s="1164"/>
      <c r="D786" s="1224"/>
    </row>
    <row r="787" spans="1:4" x14ac:dyDescent="0.2">
      <c r="A787" s="1164"/>
      <c r="B787" s="1164"/>
      <c r="D787" s="1224"/>
    </row>
    <row r="788" spans="1:4" x14ac:dyDescent="0.2">
      <c r="A788" s="1164"/>
      <c r="B788" s="1164"/>
      <c r="D788" s="1224"/>
    </row>
    <row r="789" spans="1:4" x14ac:dyDescent="0.2">
      <c r="A789" s="1164"/>
      <c r="B789" s="1164"/>
      <c r="D789" s="1224"/>
    </row>
    <row r="790" spans="1:4" x14ac:dyDescent="0.2">
      <c r="A790" s="1164"/>
      <c r="B790" s="1164"/>
      <c r="D790" s="1224"/>
    </row>
    <row r="791" spans="1:4" x14ac:dyDescent="0.2">
      <c r="A791" s="1164"/>
      <c r="B791" s="1164"/>
      <c r="D791" s="1224"/>
    </row>
    <row r="792" spans="1:4" x14ac:dyDescent="0.2">
      <c r="A792" s="1164"/>
      <c r="B792" s="1164"/>
      <c r="D792" s="1224"/>
    </row>
    <row r="793" spans="1:4" x14ac:dyDescent="0.2">
      <c r="A793" s="1164"/>
      <c r="B793" s="1164"/>
      <c r="D793" s="1224"/>
    </row>
    <row r="794" spans="1:4" x14ac:dyDescent="0.2">
      <c r="A794" s="1164"/>
      <c r="B794" s="1164"/>
      <c r="D794" s="1224"/>
    </row>
    <row r="795" spans="1:4" x14ac:dyDescent="0.2">
      <c r="A795" s="1164"/>
      <c r="B795" s="1164"/>
      <c r="D795" s="1224"/>
    </row>
    <row r="796" spans="1:4" x14ac:dyDescent="0.2">
      <c r="A796" s="1164"/>
      <c r="B796" s="1164"/>
      <c r="D796" s="1224"/>
    </row>
    <row r="797" spans="1:4" x14ac:dyDescent="0.2">
      <c r="A797" s="1164"/>
      <c r="B797" s="1164"/>
      <c r="D797" s="1224"/>
    </row>
    <row r="798" spans="1:4" x14ac:dyDescent="0.2">
      <c r="A798" s="1164"/>
      <c r="B798" s="1164"/>
      <c r="D798" s="1224"/>
    </row>
    <row r="799" spans="1:4" x14ac:dyDescent="0.2">
      <c r="A799" s="1164"/>
      <c r="B799" s="1164"/>
      <c r="D799" s="1224"/>
    </row>
    <row r="800" spans="1:4" x14ac:dyDescent="0.2">
      <c r="A800" s="1164"/>
      <c r="B800" s="1164"/>
      <c r="D800" s="1224"/>
    </row>
    <row r="801" spans="1:4" x14ac:dyDescent="0.2">
      <c r="A801" s="1164"/>
      <c r="B801" s="1164"/>
      <c r="D801" s="1224"/>
    </row>
    <row r="802" spans="1:4" x14ac:dyDescent="0.2">
      <c r="A802" s="1164"/>
      <c r="B802" s="1164"/>
      <c r="D802" s="1224"/>
    </row>
    <row r="803" spans="1:4" x14ac:dyDescent="0.2">
      <c r="A803" s="1164"/>
      <c r="B803" s="1164"/>
      <c r="D803" s="1224"/>
    </row>
    <row r="804" spans="1:4" x14ac:dyDescent="0.2">
      <c r="A804" s="1164"/>
      <c r="B804" s="1164"/>
      <c r="D804" s="1224"/>
    </row>
    <row r="805" spans="1:4" x14ac:dyDescent="0.2">
      <c r="A805" s="1164"/>
      <c r="B805" s="1164"/>
      <c r="D805" s="1224"/>
    </row>
    <row r="806" spans="1:4" x14ac:dyDescent="0.2">
      <c r="A806" s="1164"/>
      <c r="B806" s="1164"/>
      <c r="D806" s="1224"/>
    </row>
    <row r="807" spans="1:4" x14ac:dyDescent="0.2">
      <c r="A807" s="1164"/>
      <c r="B807" s="1164"/>
      <c r="D807" s="1224"/>
    </row>
    <row r="808" spans="1:4" x14ac:dyDescent="0.2">
      <c r="A808" s="1164"/>
      <c r="B808" s="1164"/>
      <c r="D808" s="1224"/>
    </row>
    <row r="809" spans="1:4" x14ac:dyDescent="0.2">
      <c r="A809" s="1164"/>
      <c r="B809" s="1164"/>
      <c r="D809" s="1224"/>
    </row>
    <row r="810" spans="1:4" x14ac:dyDescent="0.2">
      <c r="A810" s="1164"/>
      <c r="B810" s="1164"/>
      <c r="D810" s="1224"/>
    </row>
    <row r="811" spans="1:4" x14ac:dyDescent="0.2">
      <c r="A811" s="1164"/>
      <c r="B811" s="1164"/>
      <c r="D811" s="1224"/>
    </row>
    <row r="812" spans="1:4" x14ac:dyDescent="0.2">
      <c r="A812" s="1164"/>
      <c r="B812" s="1164"/>
      <c r="D812" s="1224"/>
    </row>
    <row r="813" spans="1:4" x14ac:dyDescent="0.2">
      <c r="A813" s="1164"/>
      <c r="B813" s="1164"/>
      <c r="D813" s="1224"/>
    </row>
    <row r="814" spans="1:4" x14ac:dyDescent="0.2">
      <c r="A814" s="1164"/>
      <c r="B814" s="1164"/>
      <c r="D814" s="1224"/>
    </row>
    <row r="815" spans="1:4" x14ac:dyDescent="0.2">
      <c r="A815" s="1164"/>
      <c r="B815" s="1164"/>
      <c r="D815" s="1224"/>
    </row>
    <row r="816" spans="1:4" x14ac:dyDescent="0.2">
      <c r="A816" s="1164"/>
      <c r="B816" s="1164"/>
      <c r="D816" s="1224"/>
    </row>
    <row r="817" spans="1:4" x14ac:dyDescent="0.2">
      <c r="A817" s="1164"/>
      <c r="B817" s="1164"/>
      <c r="D817" s="1224"/>
    </row>
    <row r="818" spans="1:4" x14ac:dyDescent="0.2">
      <c r="A818" s="1164"/>
      <c r="B818" s="1164"/>
      <c r="D818" s="1224"/>
    </row>
    <row r="819" spans="1:4" x14ac:dyDescent="0.2">
      <c r="A819" s="1164"/>
      <c r="B819" s="1164"/>
      <c r="D819" s="1224"/>
    </row>
    <row r="820" spans="1:4" x14ac:dyDescent="0.2">
      <c r="A820" s="1164"/>
      <c r="B820" s="1164"/>
      <c r="D820" s="1224"/>
    </row>
    <row r="821" spans="1:4" x14ac:dyDescent="0.2">
      <c r="A821" s="1164"/>
      <c r="B821" s="1164"/>
      <c r="D821" s="1224"/>
    </row>
    <row r="822" spans="1:4" x14ac:dyDescent="0.2">
      <c r="A822" s="1164"/>
      <c r="B822" s="1164"/>
      <c r="D822" s="1224"/>
    </row>
    <row r="823" spans="1:4" x14ac:dyDescent="0.2">
      <c r="A823" s="1164"/>
      <c r="B823" s="1164"/>
      <c r="D823" s="1224"/>
    </row>
    <row r="824" spans="1:4" x14ac:dyDescent="0.2">
      <c r="A824" s="1164"/>
      <c r="B824" s="1164"/>
      <c r="D824" s="1224"/>
    </row>
    <row r="825" spans="1:4" x14ac:dyDescent="0.2">
      <c r="A825" s="1164"/>
      <c r="B825" s="1164"/>
      <c r="D825" s="1224"/>
    </row>
    <row r="826" spans="1:4" x14ac:dyDescent="0.2">
      <c r="A826" s="1164"/>
      <c r="B826" s="1164"/>
      <c r="D826" s="1224"/>
    </row>
    <row r="827" spans="1:4" x14ac:dyDescent="0.2">
      <c r="A827" s="1164"/>
      <c r="B827" s="1164"/>
      <c r="D827" s="1224"/>
    </row>
    <row r="828" spans="1:4" x14ac:dyDescent="0.2">
      <c r="A828" s="1164"/>
      <c r="B828" s="1164"/>
      <c r="D828" s="1224"/>
    </row>
    <row r="829" spans="1:4" x14ac:dyDescent="0.2">
      <c r="A829" s="1164"/>
      <c r="B829" s="1164"/>
      <c r="D829" s="1224"/>
    </row>
    <row r="830" spans="1:4" x14ac:dyDescent="0.2">
      <c r="A830" s="1164"/>
      <c r="B830" s="1164"/>
      <c r="D830" s="1224"/>
    </row>
    <row r="831" spans="1:4" x14ac:dyDescent="0.2">
      <c r="A831" s="1164"/>
      <c r="B831" s="1164"/>
      <c r="D831" s="1224"/>
    </row>
    <row r="832" spans="1:4" x14ac:dyDescent="0.2">
      <c r="A832" s="1164"/>
      <c r="B832" s="1164"/>
      <c r="D832" s="1224"/>
    </row>
    <row r="833" spans="1:4" x14ac:dyDescent="0.2">
      <c r="A833" s="1164"/>
      <c r="B833" s="1164"/>
      <c r="D833" s="1224"/>
    </row>
    <row r="834" spans="1:4" x14ac:dyDescent="0.2">
      <c r="A834" s="1164"/>
      <c r="B834" s="1164"/>
      <c r="D834" s="1224"/>
    </row>
    <row r="835" spans="1:4" x14ac:dyDescent="0.2">
      <c r="A835" s="1164"/>
      <c r="B835" s="1164"/>
      <c r="D835" s="1224"/>
    </row>
    <row r="836" spans="1:4" x14ac:dyDescent="0.2">
      <c r="A836" s="1164"/>
      <c r="B836" s="1164"/>
      <c r="D836" s="1224"/>
    </row>
    <row r="837" spans="1:4" x14ac:dyDescent="0.2">
      <c r="A837" s="1164"/>
      <c r="B837" s="1164"/>
      <c r="D837" s="1224"/>
    </row>
    <row r="838" spans="1:4" x14ac:dyDescent="0.2">
      <c r="A838" s="1164"/>
      <c r="B838" s="1164"/>
      <c r="D838" s="1224"/>
    </row>
    <row r="839" spans="1:4" x14ac:dyDescent="0.2">
      <c r="A839" s="1164"/>
      <c r="B839" s="1164"/>
      <c r="D839" s="1224"/>
    </row>
    <row r="840" spans="1:4" x14ac:dyDescent="0.2">
      <c r="A840" s="1164"/>
      <c r="B840" s="1164"/>
      <c r="D840" s="1224"/>
    </row>
    <row r="841" spans="1:4" x14ac:dyDescent="0.2">
      <c r="A841" s="1164"/>
      <c r="B841" s="1164"/>
      <c r="D841" s="1224"/>
    </row>
    <row r="842" spans="1:4" x14ac:dyDescent="0.2">
      <c r="A842" s="1164"/>
      <c r="B842" s="1164"/>
      <c r="D842" s="1224"/>
    </row>
    <row r="843" spans="1:4" x14ac:dyDescent="0.2">
      <c r="A843" s="1164"/>
      <c r="B843" s="1164"/>
      <c r="D843" s="1224"/>
    </row>
    <row r="844" spans="1:4" x14ac:dyDescent="0.2">
      <c r="A844" s="1164"/>
      <c r="B844" s="1164"/>
      <c r="D844" s="1224"/>
    </row>
    <row r="845" spans="1:4" x14ac:dyDescent="0.2">
      <c r="A845" s="1164"/>
      <c r="B845" s="1164"/>
      <c r="D845" s="1224"/>
    </row>
    <row r="846" spans="1:4" x14ac:dyDescent="0.2">
      <c r="A846" s="1164"/>
      <c r="B846" s="1164"/>
      <c r="D846" s="1224"/>
    </row>
    <row r="847" spans="1:4" x14ac:dyDescent="0.2">
      <c r="A847" s="1164"/>
      <c r="B847" s="1164"/>
      <c r="D847" s="1224"/>
    </row>
    <row r="848" spans="1:4" x14ac:dyDescent="0.2">
      <c r="A848" s="1164"/>
      <c r="B848" s="1164"/>
      <c r="D848" s="1224"/>
    </row>
    <row r="849" spans="1:4" x14ac:dyDescent="0.2">
      <c r="A849" s="1164"/>
      <c r="B849" s="1164"/>
      <c r="D849" s="1224"/>
    </row>
    <row r="850" spans="1:4" x14ac:dyDescent="0.2">
      <c r="A850" s="1164"/>
      <c r="B850" s="1164"/>
      <c r="D850" s="1224"/>
    </row>
    <row r="851" spans="1:4" x14ac:dyDescent="0.2">
      <c r="A851" s="1164"/>
      <c r="B851" s="1164"/>
      <c r="D851" s="1224"/>
    </row>
    <row r="852" spans="1:4" x14ac:dyDescent="0.2">
      <c r="A852" s="1164"/>
      <c r="B852" s="1164"/>
      <c r="D852" s="1224"/>
    </row>
    <row r="853" spans="1:4" x14ac:dyDescent="0.2">
      <c r="A853" s="1164"/>
      <c r="B853" s="1164"/>
      <c r="D853" s="1224"/>
    </row>
    <row r="854" spans="1:4" x14ac:dyDescent="0.2">
      <c r="A854" s="1164"/>
      <c r="B854" s="1164"/>
      <c r="D854" s="1224"/>
    </row>
    <row r="855" spans="1:4" x14ac:dyDescent="0.2">
      <c r="A855" s="1164"/>
      <c r="B855" s="1164"/>
      <c r="D855" s="1224"/>
    </row>
    <row r="856" spans="1:4" x14ac:dyDescent="0.2">
      <c r="A856" s="1164"/>
      <c r="B856" s="1164"/>
      <c r="D856" s="1224"/>
    </row>
    <row r="857" spans="1:4" x14ac:dyDescent="0.2">
      <c r="A857" s="1164"/>
      <c r="B857" s="1164"/>
      <c r="D857" s="1224"/>
    </row>
    <row r="858" spans="1:4" x14ac:dyDescent="0.2">
      <c r="A858" s="1164"/>
      <c r="B858" s="1164"/>
      <c r="D858" s="1224"/>
    </row>
    <row r="859" spans="1:4" x14ac:dyDescent="0.2">
      <c r="A859" s="1164"/>
      <c r="B859" s="1164"/>
      <c r="D859" s="1224"/>
    </row>
    <row r="860" spans="1:4" x14ac:dyDescent="0.2">
      <c r="A860" s="1164"/>
      <c r="B860" s="1164"/>
      <c r="D860" s="1224"/>
    </row>
    <row r="861" spans="1:4" x14ac:dyDescent="0.2">
      <c r="A861" s="1164"/>
      <c r="B861" s="1164"/>
      <c r="D861" s="1224"/>
    </row>
    <row r="862" spans="1:4" x14ac:dyDescent="0.2">
      <c r="A862" s="1164"/>
      <c r="B862" s="1164"/>
      <c r="D862" s="1224"/>
    </row>
    <row r="863" spans="1:4" x14ac:dyDescent="0.2">
      <c r="A863" s="1164"/>
      <c r="B863" s="1164"/>
      <c r="D863" s="1224"/>
    </row>
    <row r="864" spans="1:4" x14ac:dyDescent="0.2">
      <c r="A864" s="1164"/>
      <c r="B864" s="1164"/>
      <c r="D864" s="1224"/>
    </row>
    <row r="865" spans="1:4" x14ac:dyDescent="0.2">
      <c r="A865" s="1164"/>
      <c r="B865" s="1164"/>
      <c r="D865" s="1224"/>
    </row>
    <row r="866" spans="1:4" x14ac:dyDescent="0.2">
      <c r="A866" s="1164"/>
      <c r="B866" s="1164"/>
      <c r="D866" s="1224"/>
    </row>
    <row r="867" spans="1:4" x14ac:dyDescent="0.2">
      <c r="A867" s="1164"/>
      <c r="B867" s="1164"/>
      <c r="D867" s="1224"/>
    </row>
    <row r="868" spans="1:4" x14ac:dyDescent="0.2">
      <c r="A868" s="1164"/>
      <c r="B868" s="1164"/>
      <c r="D868" s="1224"/>
    </row>
    <row r="869" spans="1:4" x14ac:dyDescent="0.2">
      <c r="A869" s="1164"/>
      <c r="B869" s="1164"/>
      <c r="D869" s="1224"/>
    </row>
    <row r="870" spans="1:4" x14ac:dyDescent="0.2">
      <c r="A870" s="1164"/>
      <c r="B870" s="1164"/>
      <c r="D870" s="1224"/>
    </row>
    <row r="871" spans="1:4" x14ac:dyDescent="0.2">
      <c r="A871" s="1164"/>
      <c r="B871" s="1164"/>
      <c r="D871" s="1224"/>
    </row>
    <row r="872" spans="1:4" x14ac:dyDescent="0.2">
      <c r="A872" s="1164"/>
      <c r="B872" s="1164"/>
      <c r="D872" s="1224"/>
    </row>
    <row r="873" spans="1:4" x14ac:dyDescent="0.2">
      <c r="A873" s="1164"/>
      <c r="B873" s="1164"/>
      <c r="D873" s="1224"/>
    </row>
    <row r="874" spans="1:4" x14ac:dyDescent="0.2">
      <c r="A874" s="1164"/>
      <c r="B874" s="1164"/>
      <c r="D874" s="1224"/>
    </row>
    <row r="875" spans="1:4" x14ac:dyDescent="0.2">
      <c r="A875" s="1164"/>
      <c r="B875" s="1164"/>
      <c r="D875" s="1224"/>
    </row>
    <row r="876" spans="1:4" x14ac:dyDescent="0.2">
      <c r="A876" s="1164"/>
      <c r="B876" s="1164"/>
      <c r="D876" s="1224"/>
    </row>
    <row r="877" spans="1:4" x14ac:dyDescent="0.2">
      <c r="A877" s="1164"/>
      <c r="B877" s="1164"/>
      <c r="D877" s="1224"/>
    </row>
    <row r="878" spans="1:4" x14ac:dyDescent="0.2">
      <c r="A878" s="1164"/>
      <c r="B878" s="1164"/>
      <c r="D878" s="1224"/>
    </row>
    <row r="879" spans="1:4" x14ac:dyDescent="0.2">
      <c r="A879" s="1164"/>
      <c r="B879" s="1164"/>
      <c r="D879" s="1224"/>
    </row>
    <row r="880" spans="1:4" x14ac:dyDescent="0.2">
      <c r="A880" s="1164"/>
      <c r="B880" s="1164"/>
      <c r="D880" s="1224"/>
    </row>
    <row r="881" spans="1:4" x14ac:dyDescent="0.2">
      <c r="A881" s="1164"/>
      <c r="B881" s="1164"/>
      <c r="D881" s="1224"/>
    </row>
    <row r="882" spans="1:4" x14ac:dyDescent="0.2">
      <c r="A882" s="1164"/>
      <c r="B882" s="1164"/>
      <c r="D882" s="1224"/>
    </row>
    <row r="883" spans="1:4" x14ac:dyDescent="0.2">
      <c r="A883" s="1164"/>
      <c r="B883" s="1164"/>
      <c r="D883" s="1224"/>
    </row>
    <row r="884" spans="1:4" x14ac:dyDescent="0.2">
      <c r="A884" s="1164"/>
      <c r="B884" s="1164"/>
      <c r="D884" s="1224"/>
    </row>
    <row r="885" spans="1:4" x14ac:dyDescent="0.2">
      <c r="A885" s="1164"/>
      <c r="B885" s="1164"/>
      <c r="D885" s="1224"/>
    </row>
    <row r="886" spans="1:4" x14ac:dyDescent="0.2">
      <c r="A886" s="1164"/>
      <c r="B886" s="1164"/>
      <c r="D886" s="1224"/>
    </row>
    <row r="887" spans="1:4" x14ac:dyDescent="0.2">
      <c r="A887" s="1164"/>
      <c r="B887" s="1164"/>
      <c r="D887" s="1224"/>
    </row>
    <row r="888" spans="1:4" x14ac:dyDescent="0.2">
      <c r="A888" s="1164"/>
      <c r="B888" s="1164"/>
      <c r="D888" s="1224"/>
    </row>
    <row r="889" spans="1:4" x14ac:dyDescent="0.2">
      <c r="A889" s="1164"/>
      <c r="B889" s="1164"/>
      <c r="D889" s="1224"/>
    </row>
    <row r="890" spans="1:4" x14ac:dyDescent="0.2">
      <c r="A890" s="1164"/>
      <c r="B890" s="1164"/>
      <c r="D890" s="1224"/>
    </row>
    <row r="891" spans="1:4" x14ac:dyDescent="0.2">
      <c r="A891" s="1164"/>
      <c r="B891" s="1164"/>
      <c r="D891" s="1224"/>
    </row>
    <row r="892" spans="1:4" x14ac:dyDescent="0.2">
      <c r="A892" s="1164"/>
      <c r="B892" s="1164"/>
      <c r="D892" s="1224"/>
    </row>
    <row r="893" spans="1:4" x14ac:dyDescent="0.2">
      <c r="A893" s="1164"/>
      <c r="B893" s="1164"/>
      <c r="D893" s="1224"/>
    </row>
    <row r="894" spans="1:4" x14ac:dyDescent="0.2">
      <c r="A894" s="1164"/>
      <c r="B894" s="1164"/>
      <c r="D894" s="1224"/>
    </row>
    <row r="895" spans="1:4" x14ac:dyDescent="0.2">
      <c r="A895" s="1164"/>
      <c r="B895" s="1164"/>
      <c r="D895" s="1224"/>
    </row>
    <row r="896" spans="1:4" x14ac:dyDescent="0.2">
      <c r="A896" s="1164"/>
      <c r="B896" s="1164"/>
      <c r="D896" s="1224"/>
    </row>
    <row r="897" spans="1:4" x14ac:dyDescent="0.2">
      <c r="A897" s="1164"/>
      <c r="B897" s="1164"/>
      <c r="D897" s="1224"/>
    </row>
    <row r="898" spans="1:4" x14ac:dyDescent="0.2">
      <c r="A898" s="1164"/>
      <c r="B898" s="1164"/>
      <c r="D898" s="1224"/>
    </row>
    <row r="899" spans="1:4" x14ac:dyDescent="0.2">
      <c r="A899" s="1164"/>
      <c r="B899" s="1164"/>
      <c r="D899" s="1224"/>
    </row>
    <row r="900" spans="1:4" x14ac:dyDescent="0.2">
      <c r="A900" s="1164"/>
      <c r="B900" s="1164"/>
      <c r="D900" s="1224"/>
    </row>
    <row r="901" spans="1:4" x14ac:dyDescent="0.2">
      <c r="A901" s="1164"/>
      <c r="B901" s="1164"/>
      <c r="D901" s="1224"/>
    </row>
    <row r="902" spans="1:4" x14ac:dyDescent="0.2">
      <c r="A902" s="1164"/>
      <c r="B902" s="1164"/>
      <c r="D902" s="1224"/>
    </row>
    <row r="903" spans="1:4" x14ac:dyDescent="0.2">
      <c r="A903" s="1164"/>
      <c r="B903" s="1164"/>
      <c r="D903" s="1224"/>
    </row>
    <row r="904" spans="1:4" x14ac:dyDescent="0.2">
      <c r="A904" s="1164"/>
      <c r="B904" s="1164"/>
      <c r="D904" s="1224"/>
    </row>
    <row r="905" spans="1:4" x14ac:dyDescent="0.2">
      <c r="A905" s="1164"/>
      <c r="B905" s="1164"/>
      <c r="D905" s="1224"/>
    </row>
    <row r="906" spans="1:4" x14ac:dyDescent="0.2">
      <c r="A906" s="1164"/>
      <c r="B906" s="1164"/>
      <c r="D906" s="1224"/>
    </row>
    <row r="907" spans="1:4" x14ac:dyDescent="0.2">
      <c r="A907" s="1164"/>
      <c r="B907" s="1164"/>
      <c r="D907" s="1224"/>
    </row>
    <row r="908" spans="1:4" x14ac:dyDescent="0.2">
      <c r="A908" s="1164"/>
      <c r="B908" s="1164"/>
      <c r="D908" s="1224"/>
    </row>
    <row r="909" spans="1:4" x14ac:dyDescent="0.2">
      <c r="A909" s="1164"/>
      <c r="B909" s="1164"/>
      <c r="D909" s="1224"/>
    </row>
    <row r="910" spans="1:4" x14ac:dyDescent="0.2">
      <c r="A910" s="1164"/>
      <c r="B910" s="1164"/>
      <c r="D910" s="1224"/>
    </row>
    <row r="911" spans="1:4" x14ac:dyDescent="0.2">
      <c r="A911" s="1164"/>
      <c r="B911" s="1164"/>
      <c r="D911" s="1224"/>
    </row>
    <row r="912" spans="1:4" x14ac:dyDescent="0.2">
      <c r="A912" s="1164"/>
      <c r="B912" s="1164"/>
      <c r="D912" s="1224"/>
    </row>
    <row r="913" spans="1:4" x14ac:dyDescent="0.2">
      <c r="A913" s="1164"/>
      <c r="B913" s="1164"/>
      <c r="D913" s="1224"/>
    </row>
    <row r="914" spans="1:4" x14ac:dyDescent="0.2">
      <c r="A914" s="1164"/>
      <c r="B914" s="1164"/>
      <c r="D914" s="1224"/>
    </row>
    <row r="915" spans="1:4" x14ac:dyDescent="0.2">
      <c r="A915" s="1164"/>
      <c r="B915" s="1164"/>
      <c r="D915" s="1224"/>
    </row>
    <row r="916" spans="1:4" x14ac:dyDescent="0.2">
      <c r="A916" s="1164"/>
      <c r="B916" s="1164"/>
      <c r="D916" s="1224"/>
    </row>
    <row r="917" spans="1:4" x14ac:dyDescent="0.2">
      <c r="A917" s="1164"/>
      <c r="B917" s="1164"/>
      <c r="D917" s="1224"/>
    </row>
    <row r="918" spans="1:4" x14ac:dyDescent="0.2">
      <c r="A918" s="1164"/>
      <c r="B918" s="1164"/>
      <c r="D918" s="1224"/>
    </row>
    <row r="919" spans="1:4" x14ac:dyDescent="0.2">
      <c r="A919" s="1164"/>
      <c r="B919" s="1164"/>
      <c r="D919" s="1224"/>
    </row>
    <row r="920" spans="1:4" x14ac:dyDescent="0.2">
      <c r="A920" s="1164"/>
      <c r="B920" s="1164"/>
      <c r="D920" s="1224"/>
    </row>
    <row r="921" spans="1:4" x14ac:dyDescent="0.2">
      <c r="A921" s="1164"/>
      <c r="B921" s="1164"/>
      <c r="D921" s="1224"/>
    </row>
    <row r="922" spans="1:4" x14ac:dyDescent="0.2">
      <c r="A922" s="1164"/>
      <c r="B922" s="1164"/>
      <c r="D922" s="1224"/>
    </row>
    <row r="923" spans="1:4" x14ac:dyDescent="0.2">
      <c r="A923" s="1164"/>
      <c r="B923" s="1164"/>
      <c r="D923" s="1224"/>
    </row>
    <row r="924" spans="1:4" x14ac:dyDescent="0.2">
      <c r="A924" s="1164"/>
      <c r="B924" s="1164"/>
      <c r="D924" s="1224"/>
    </row>
    <row r="925" spans="1:4" x14ac:dyDescent="0.2">
      <c r="A925" s="1164"/>
      <c r="B925" s="1164"/>
      <c r="D925" s="1224"/>
    </row>
    <row r="926" spans="1:4" x14ac:dyDescent="0.2">
      <c r="A926" s="1164"/>
      <c r="B926" s="1164"/>
      <c r="D926" s="1224"/>
    </row>
    <row r="927" spans="1:4" x14ac:dyDescent="0.2">
      <c r="A927" s="1164"/>
      <c r="B927" s="1164"/>
      <c r="D927" s="1224"/>
    </row>
    <row r="928" spans="1:4" x14ac:dyDescent="0.2">
      <c r="A928" s="1164"/>
      <c r="B928" s="1164"/>
      <c r="D928" s="1224"/>
    </row>
    <row r="929" spans="1:4" x14ac:dyDescent="0.2">
      <c r="A929" s="1164"/>
      <c r="B929" s="1164"/>
      <c r="D929" s="1224"/>
    </row>
    <row r="930" spans="1:4" x14ac:dyDescent="0.2">
      <c r="A930" s="1164"/>
      <c r="B930" s="1164"/>
      <c r="D930" s="1224"/>
    </row>
    <row r="931" spans="1:4" x14ac:dyDescent="0.2">
      <c r="A931" s="1164"/>
      <c r="B931" s="1164"/>
      <c r="D931" s="1224"/>
    </row>
    <row r="932" spans="1:4" x14ac:dyDescent="0.2">
      <c r="A932" s="1164"/>
      <c r="B932" s="1164"/>
      <c r="D932" s="1224"/>
    </row>
    <row r="933" spans="1:4" x14ac:dyDescent="0.2">
      <c r="A933" s="1164"/>
      <c r="B933" s="1164"/>
      <c r="D933" s="1224"/>
    </row>
    <row r="934" spans="1:4" x14ac:dyDescent="0.2">
      <c r="A934" s="1164"/>
      <c r="B934" s="1164"/>
      <c r="D934" s="1224"/>
    </row>
    <row r="935" spans="1:4" x14ac:dyDescent="0.2">
      <c r="A935" s="1164"/>
      <c r="B935" s="1164"/>
      <c r="D935" s="1224"/>
    </row>
    <row r="936" spans="1:4" x14ac:dyDescent="0.2">
      <c r="A936" s="1164"/>
      <c r="B936" s="1164"/>
      <c r="D936" s="1224"/>
    </row>
    <row r="937" spans="1:4" x14ac:dyDescent="0.2">
      <c r="A937" s="1164"/>
      <c r="B937" s="1164"/>
      <c r="D937" s="1224"/>
    </row>
    <row r="938" spans="1:4" x14ac:dyDescent="0.2">
      <c r="A938" s="1164"/>
      <c r="B938" s="1164"/>
      <c r="D938" s="1224"/>
    </row>
    <row r="939" spans="1:4" x14ac:dyDescent="0.2">
      <c r="A939" s="1164"/>
      <c r="B939" s="1164"/>
      <c r="D939" s="1224"/>
    </row>
    <row r="940" spans="1:4" x14ac:dyDescent="0.2">
      <c r="A940" s="1164"/>
      <c r="B940" s="1164"/>
      <c r="D940" s="1224"/>
    </row>
    <row r="941" spans="1:4" x14ac:dyDescent="0.2">
      <c r="A941" s="1164"/>
      <c r="B941" s="1164"/>
      <c r="D941" s="1224"/>
    </row>
    <row r="942" spans="1:4" x14ac:dyDescent="0.2">
      <c r="A942" s="1164"/>
      <c r="B942" s="1164"/>
      <c r="D942" s="1224"/>
    </row>
    <row r="943" spans="1:4" x14ac:dyDescent="0.2">
      <c r="A943" s="1164"/>
      <c r="B943" s="1164"/>
      <c r="D943" s="1224"/>
    </row>
    <row r="944" spans="1:4" x14ac:dyDescent="0.2">
      <c r="A944" s="1164"/>
      <c r="B944" s="1164"/>
      <c r="D944" s="1224"/>
    </row>
    <row r="945" spans="1:4" x14ac:dyDescent="0.2">
      <c r="A945" s="1164"/>
      <c r="B945" s="1164"/>
      <c r="D945" s="1224"/>
    </row>
    <row r="946" spans="1:4" x14ac:dyDescent="0.2">
      <c r="A946" s="1164"/>
      <c r="B946" s="1164"/>
      <c r="D946" s="1224"/>
    </row>
    <row r="947" spans="1:4" x14ac:dyDescent="0.2">
      <c r="A947" s="1164"/>
      <c r="B947" s="1164"/>
      <c r="D947" s="1224"/>
    </row>
    <row r="948" spans="1:4" x14ac:dyDescent="0.2">
      <c r="A948" s="1164"/>
      <c r="B948" s="1164"/>
      <c r="D948" s="1224"/>
    </row>
    <row r="949" spans="1:4" x14ac:dyDescent="0.2">
      <c r="A949" s="1164"/>
      <c r="B949" s="1164"/>
      <c r="D949" s="1224"/>
    </row>
    <row r="950" spans="1:4" x14ac:dyDescent="0.2">
      <c r="A950" s="1164"/>
      <c r="B950" s="1164"/>
      <c r="D950" s="1224"/>
    </row>
    <row r="951" spans="1:4" x14ac:dyDescent="0.2">
      <c r="A951" s="1164"/>
      <c r="B951" s="1164"/>
      <c r="D951" s="1224"/>
    </row>
    <row r="952" spans="1:4" x14ac:dyDescent="0.2">
      <c r="A952" s="1164"/>
      <c r="B952" s="1164"/>
      <c r="D952" s="1224"/>
    </row>
    <row r="953" spans="1:4" x14ac:dyDescent="0.2">
      <c r="A953" s="1164"/>
      <c r="B953" s="1164"/>
      <c r="D953" s="1224"/>
    </row>
    <row r="954" spans="1:4" x14ac:dyDescent="0.2">
      <c r="A954" s="1164"/>
      <c r="B954" s="1164"/>
      <c r="D954" s="1224"/>
    </row>
    <row r="955" spans="1:4" x14ac:dyDescent="0.2">
      <c r="A955" s="1164"/>
      <c r="B955" s="1164"/>
      <c r="D955" s="1224"/>
    </row>
    <row r="956" spans="1:4" x14ac:dyDescent="0.2">
      <c r="A956" s="1164"/>
      <c r="B956" s="1164"/>
      <c r="D956" s="1224"/>
    </row>
    <row r="957" spans="1:4" x14ac:dyDescent="0.2">
      <c r="A957" s="1164"/>
      <c r="B957" s="1164"/>
      <c r="D957" s="1224"/>
    </row>
    <row r="958" spans="1:4" x14ac:dyDescent="0.2">
      <c r="A958" s="1164"/>
      <c r="B958" s="1164"/>
      <c r="D958" s="1224"/>
    </row>
    <row r="959" spans="1:4" x14ac:dyDescent="0.2">
      <c r="A959" s="1164"/>
      <c r="B959" s="1164"/>
      <c r="D959" s="1224"/>
    </row>
    <row r="960" spans="1:4" x14ac:dyDescent="0.2">
      <c r="A960" s="1164"/>
      <c r="B960" s="1164"/>
      <c r="D960" s="1224"/>
    </row>
    <row r="961" spans="1:4" x14ac:dyDescent="0.2">
      <c r="A961" s="1164"/>
      <c r="B961" s="1164"/>
      <c r="D961" s="1224"/>
    </row>
    <row r="962" spans="1:4" x14ac:dyDescent="0.2">
      <c r="A962" s="1164"/>
      <c r="B962" s="1164"/>
      <c r="D962" s="1224"/>
    </row>
    <row r="963" spans="1:4" x14ac:dyDescent="0.2">
      <c r="A963" s="1164"/>
      <c r="B963" s="1164"/>
      <c r="D963" s="1224"/>
    </row>
    <row r="964" spans="1:4" x14ac:dyDescent="0.2">
      <c r="A964" s="1164"/>
      <c r="B964" s="1164"/>
      <c r="D964" s="1224"/>
    </row>
    <row r="965" spans="1:4" x14ac:dyDescent="0.2">
      <c r="A965" s="1164"/>
      <c r="B965" s="1164"/>
      <c r="D965" s="1224"/>
    </row>
    <row r="966" spans="1:4" x14ac:dyDescent="0.2">
      <c r="A966" s="1164"/>
      <c r="B966" s="1164"/>
      <c r="D966" s="1224"/>
    </row>
    <row r="967" spans="1:4" x14ac:dyDescent="0.2">
      <c r="A967" s="1164"/>
      <c r="B967" s="1164"/>
      <c r="D967" s="1224"/>
    </row>
    <row r="968" spans="1:4" x14ac:dyDescent="0.2">
      <c r="A968" s="1164"/>
      <c r="B968" s="1164"/>
      <c r="D968" s="1224"/>
    </row>
    <row r="969" spans="1:4" x14ac:dyDescent="0.2">
      <c r="A969" s="1164"/>
      <c r="B969" s="1164"/>
      <c r="D969" s="1224"/>
    </row>
    <row r="970" spans="1:4" x14ac:dyDescent="0.2">
      <c r="A970" s="1164"/>
      <c r="B970" s="1164"/>
      <c r="D970" s="1224"/>
    </row>
    <row r="971" spans="1:4" x14ac:dyDescent="0.2">
      <c r="A971" s="1164"/>
      <c r="B971" s="1164"/>
      <c r="D971" s="1224"/>
    </row>
    <row r="972" spans="1:4" x14ac:dyDescent="0.2">
      <c r="A972" s="1164"/>
      <c r="B972" s="1164"/>
      <c r="D972" s="1224"/>
    </row>
    <row r="973" spans="1:4" x14ac:dyDescent="0.2">
      <c r="A973" s="1164"/>
      <c r="B973" s="1164"/>
      <c r="D973" s="1224"/>
    </row>
    <row r="974" spans="1:4" x14ac:dyDescent="0.2">
      <c r="A974" s="1164"/>
      <c r="B974" s="1164"/>
      <c r="D974" s="1224"/>
    </row>
    <row r="975" spans="1:4" x14ac:dyDescent="0.2">
      <c r="A975" s="1164"/>
      <c r="B975" s="1164"/>
      <c r="D975" s="1224"/>
    </row>
    <row r="976" spans="1:4" x14ac:dyDescent="0.2">
      <c r="A976" s="1164"/>
      <c r="B976" s="1164"/>
      <c r="D976" s="1224"/>
    </row>
    <row r="977" spans="1:4" x14ac:dyDescent="0.2">
      <c r="A977" s="1164"/>
      <c r="B977" s="1164"/>
      <c r="D977" s="1224"/>
    </row>
    <row r="978" spans="1:4" x14ac:dyDescent="0.2">
      <c r="A978" s="1164"/>
      <c r="B978" s="1164"/>
      <c r="D978" s="1224"/>
    </row>
    <row r="979" spans="1:4" x14ac:dyDescent="0.2">
      <c r="A979" s="1164"/>
      <c r="B979" s="1164"/>
      <c r="D979" s="1224"/>
    </row>
    <row r="980" spans="1:4" x14ac:dyDescent="0.2">
      <c r="A980" s="1164"/>
      <c r="B980" s="1164"/>
      <c r="D980" s="1224"/>
    </row>
    <row r="981" spans="1:4" x14ac:dyDescent="0.2">
      <c r="A981" s="1164"/>
      <c r="B981" s="1164"/>
      <c r="D981" s="1224"/>
    </row>
    <row r="982" spans="1:4" x14ac:dyDescent="0.2">
      <c r="A982" s="1164"/>
      <c r="B982" s="1164"/>
      <c r="D982" s="1224"/>
    </row>
    <row r="983" spans="1:4" x14ac:dyDescent="0.2">
      <c r="A983" s="1164"/>
      <c r="B983" s="1164"/>
      <c r="D983" s="1224"/>
    </row>
    <row r="984" spans="1:4" x14ac:dyDescent="0.2">
      <c r="A984" s="1164"/>
      <c r="B984" s="1164"/>
      <c r="D984" s="1224"/>
    </row>
    <row r="985" spans="1:4" x14ac:dyDescent="0.2">
      <c r="A985" s="1164"/>
      <c r="B985" s="1164"/>
      <c r="D985" s="1224"/>
    </row>
    <row r="986" spans="1:4" x14ac:dyDescent="0.2">
      <c r="A986" s="1164"/>
      <c r="B986" s="1164"/>
      <c r="D986" s="1224"/>
    </row>
    <row r="987" spans="1:4" x14ac:dyDescent="0.2">
      <c r="A987" s="1164"/>
      <c r="B987" s="1164"/>
      <c r="D987" s="1224"/>
    </row>
    <row r="988" spans="1:4" x14ac:dyDescent="0.2">
      <c r="A988" s="1164"/>
      <c r="B988" s="1164"/>
      <c r="D988" s="1224"/>
    </row>
    <row r="989" spans="1:4" x14ac:dyDescent="0.2">
      <c r="A989" s="1164"/>
      <c r="B989" s="1164"/>
      <c r="D989" s="1224"/>
    </row>
    <row r="990" spans="1:4" x14ac:dyDescent="0.2">
      <c r="A990" s="1164"/>
      <c r="B990" s="1164"/>
      <c r="D990" s="1224"/>
    </row>
    <row r="991" spans="1:4" x14ac:dyDescent="0.2">
      <c r="A991" s="1164"/>
      <c r="B991" s="1164"/>
      <c r="D991" s="1224"/>
    </row>
    <row r="992" spans="1:4" x14ac:dyDescent="0.2">
      <c r="A992" s="1164"/>
      <c r="B992" s="1164"/>
      <c r="D992" s="1224"/>
    </row>
    <row r="993" spans="1:4" x14ac:dyDescent="0.2">
      <c r="A993" s="1164"/>
      <c r="B993" s="1164"/>
      <c r="D993" s="1224"/>
    </row>
    <row r="994" spans="1:4" x14ac:dyDescent="0.2">
      <c r="A994" s="1164"/>
      <c r="B994" s="1164"/>
      <c r="D994" s="1224"/>
    </row>
    <row r="995" spans="1:4" x14ac:dyDescent="0.2">
      <c r="A995" s="1164"/>
      <c r="B995" s="1164"/>
      <c r="D995" s="1224"/>
    </row>
    <row r="996" spans="1:4" x14ac:dyDescent="0.2">
      <c r="A996" s="1164"/>
      <c r="B996" s="1164"/>
      <c r="D996" s="1224"/>
    </row>
    <row r="997" spans="1:4" x14ac:dyDescent="0.2">
      <c r="A997" s="1164"/>
      <c r="B997" s="1164"/>
      <c r="D997" s="1224"/>
    </row>
    <row r="998" spans="1:4" x14ac:dyDescent="0.2">
      <c r="A998" s="1164"/>
      <c r="B998" s="1164"/>
      <c r="D998" s="1224"/>
    </row>
    <row r="999" spans="1:4" x14ac:dyDescent="0.2">
      <c r="A999" s="1164"/>
      <c r="B999" s="1164"/>
      <c r="D999" s="1224"/>
    </row>
    <row r="1000" spans="1:4" x14ac:dyDescent="0.2">
      <c r="A1000" s="1164"/>
      <c r="B1000" s="1164"/>
      <c r="D1000" s="1224"/>
    </row>
    <row r="1001" spans="1:4" x14ac:dyDescent="0.2">
      <c r="A1001" s="1164"/>
      <c r="B1001" s="1164"/>
      <c r="D1001" s="1224"/>
    </row>
    <row r="1002" spans="1:4" x14ac:dyDescent="0.2">
      <c r="A1002" s="1164"/>
      <c r="B1002" s="1164"/>
      <c r="D1002" s="1224"/>
    </row>
    <row r="1003" spans="1:4" x14ac:dyDescent="0.2">
      <c r="A1003" s="1164"/>
      <c r="B1003" s="1164"/>
      <c r="D1003" s="1224"/>
    </row>
    <row r="1004" spans="1:4" x14ac:dyDescent="0.2">
      <c r="A1004" s="1164"/>
      <c r="B1004" s="1164"/>
      <c r="D1004" s="1224"/>
    </row>
    <row r="1005" spans="1:4" x14ac:dyDescent="0.2">
      <c r="A1005" s="1164"/>
      <c r="B1005" s="1164"/>
      <c r="D1005" s="1224"/>
    </row>
    <row r="1006" spans="1:4" x14ac:dyDescent="0.2">
      <c r="A1006" s="1164"/>
      <c r="B1006" s="1164"/>
      <c r="D1006" s="1224"/>
    </row>
    <row r="1007" spans="1:4" x14ac:dyDescent="0.2">
      <c r="A1007" s="1164"/>
      <c r="B1007" s="1164"/>
      <c r="D1007" s="1224"/>
    </row>
    <row r="1008" spans="1:4" x14ac:dyDescent="0.2">
      <c r="A1008" s="1164"/>
      <c r="B1008" s="1164"/>
      <c r="D1008" s="1224"/>
    </row>
    <row r="1009" spans="1:4" x14ac:dyDescent="0.2">
      <c r="A1009" s="1164"/>
      <c r="B1009" s="1164"/>
      <c r="D1009" s="1224"/>
    </row>
    <row r="1010" spans="1:4" x14ac:dyDescent="0.2">
      <c r="A1010" s="1164"/>
      <c r="B1010" s="1164"/>
      <c r="D1010" s="1224"/>
    </row>
    <row r="1011" spans="1:4" x14ac:dyDescent="0.2">
      <c r="A1011" s="1164"/>
      <c r="B1011" s="1164"/>
      <c r="D1011" s="1224"/>
    </row>
    <row r="1012" spans="1:4" x14ac:dyDescent="0.2">
      <c r="A1012" s="1164"/>
      <c r="B1012" s="1164"/>
      <c r="D1012" s="1224"/>
    </row>
    <row r="1013" spans="1:4" x14ac:dyDescent="0.2">
      <c r="A1013" s="1164"/>
      <c r="B1013" s="1164"/>
      <c r="D1013" s="1224"/>
    </row>
    <row r="1014" spans="1:4" x14ac:dyDescent="0.2">
      <c r="A1014" s="1164"/>
      <c r="B1014" s="1164"/>
      <c r="D1014" s="1224"/>
    </row>
    <row r="1015" spans="1:4" x14ac:dyDescent="0.2">
      <c r="A1015" s="1164"/>
      <c r="B1015" s="1164"/>
      <c r="D1015" s="1224"/>
    </row>
    <row r="1016" spans="1:4" x14ac:dyDescent="0.2">
      <c r="A1016" s="1164"/>
      <c r="B1016" s="1164"/>
      <c r="D1016" s="1224"/>
    </row>
    <row r="1017" spans="1:4" x14ac:dyDescent="0.2">
      <c r="A1017" s="1164"/>
      <c r="B1017" s="1164"/>
      <c r="D1017" s="1224"/>
    </row>
    <row r="1018" spans="1:4" x14ac:dyDescent="0.2">
      <c r="A1018" s="1164"/>
      <c r="B1018" s="1164"/>
      <c r="D1018" s="1224"/>
    </row>
    <row r="1019" spans="1:4" x14ac:dyDescent="0.2">
      <c r="A1019" s="1164"/>
      <c r="B1019" s="1164"/>
      <c r="D1019" s="1224"/>
    </row>
    <row r="1020" spans="1:4" x14ac:dyDescent="0.2">
      <c r="A1020" s="1164"/>
      <c r="B1020" s="1164"/>
      <c r="D1020" s="1224"/>
    </row>
    <row r="1021" spans="1:4" x14ac:dyDescent="0.2">
      <c r="A1021" s="1164"/>
      <c r="B1021" s="1164"/>
      <c r="D1021" s="1224"/>
    </row>
    <row r="1022" spans="1:4" x14ac:dyDescent="0.2">
      <c r="A1022" s="1164"/>
      <c r="B1022" s="1164"/>
      <c r="D1022" s="1224"/>
    </row>
    <row r="1023" spans="1:4" x14ac:dyDescent="0.2">
      <c r="A1023" s="1164"/>
      <c r="B1023" s="1164"/>
      <c r="D1023" s="1224"/>
    </row>
    <row r="1024" spans="1:4" x14ac:dyDescent="0.2">
      <c r="A1024" s="1164"/>
      <c r="B1024" s="1164"/>
      <c r="D1024" s="1224"/>
    </row>
    <row r="1025" spans="1:4" x14ac:dyDescent="0.2">
      <c r="A1025" s="1164"/>
      <c r="B1025" s="1164"/>
      <c r="D1025" s="1224"/>
    </row>
    <row r="1026" spans="1:4" x14ac:dyDescent="0.2">
      <c r="A1026" s="1164"/>
      <c r="B1026" s="1164"/>
      <c r="D1026" s="1224"/>
    </row>
    <row r="1027" spans="1:4" x14ac:dyDescent="0.2">
      <c r="A1027" s="1164"/>
      <c r="B1027" s="1164"/>
      <c r="D1027" s="1224"/>
    </row>
    <row r="1028" spans="1:4" x14ac:dyDescent="0.2">
      <c r="A1028" s="1164"/>
      <c r="B1028" s="1164"/>
      <c r="D1028" s="1224"/>
    </row>
    <row r="1029" spans="1:4" x14ac:dyDescent="0.2">
      <c r="A1029" s="1164"/>
      <c r="B1029" s="1164"/>
      <c r="D1029" s="1224"/>
    </row>
    <row r="1030" spans="1:4" x14ac:dyDescent="0.2">
      <c r="A1030" s="1164"/>
      <c r="B1030" s="1164"/>
      <c r="D1030" s="1224"/>
    </row>
    <row r="1031" spans="1:4" x14ac:dyDescent="0.2">
      <c r="A1031" s="1164"/>
      <c r="B1031" s="1164"/>
      <c r="D1031" s="1224"/>
    </row>
    <row r="1032" spans="1:4" x14ac:dyDescent="0.2">
      <c r="A1032" s="1164"/>
      <c r="B1032" s="1164"/>
      <c r="D1032" s="1224"/>
    </row>
    <row r="1033" spans="1:4" x14ac:dyDescent="0.2">
      <c r="A1033" s="1164"/>
      <c r="B1033" s="1164"/>
      <c r="D1033" s="1224"/>
    </row>
    <row r="1034" spans="1:4" x14ac:dyDescent="0.2">
      <c r="A1034" s="1164"/>
      <c r="B1034" s="1164"/>
      <c r="D1034" s="1224"/>
    </row>
    <row r="1035" spans="1:4" x14ac:dyDescent="0.2">
      <c r="A1035" s="1164"/>
      <c r="B1035" s="1164"/>
      <c r="D1035" s="1224"/>
    </row>
    <row r="1036" spans="1:4" x14ac:dyDescent="0.2">
      <c r="A1036" s="1164"/>
      <c r="B1036" s="1164"/>
      <c r="D1036" s="1224"/>
    </row>
    <row r="1037" spans="1:4" x14ac:dyDescent="0.2">
      <c r="A1037" s="1164"/>
      <c r="B1037" s="1164"/>
      <c r="D1037" s="1224"/>
    </row>
    <row r="1038" spans="1:4" x14ac:dyDescent="0.2">
      <c r="A1038" s="1164"/>
      <c r="B1038" s="1164"/>
      <c r="D1038" s="1224"/>
    </row>
    <row r="1039" spans="1:4" x14ac:dyDescent="0.2">
      <c r="A1039" s="1164"/>
      <c r="B1039" s="1164"/>
      <c r="D1039" s="1224"/>
    </row>
    <row r="1040" spans="1:4" x14ac:dyDescent="0.2">
      <c r="A1040" s="1164"/>
      <c r="B1040" s="1164"/>
      <c r="D1040" s="1224"/>
    </row>
    <row r="1041" spans="1:4" x14ac:dyDescent="0.2">
      <c r="A1041" s="1164"/>
      <c r="B1041" s="1164"/>
      <c r="D1041" s="1224"/>
    </row>
    <row r="1042" spans="1:4" x14ac:dyDescent="0.2">
      <c r="A1042" s="1164"/>
      <c r="B1042" s="1164"/>
      <c r="D1042" s="1224"/>
    </row>
    <row r="1043" spans="1:4" x14ac:dyDescent="0.2">
      <c r="A1043" s="1164"/>
      <c r="B1043" s="1164"/>
      <c r="D1043" s="1224"/>
    </row>
    <row r="1044" spans="1:4" x14ac:dyDescent="0.2">
      <c r="A1044" s="1164"/>
      <c r="B1044" s="1164"/>
      <c r="D1044" s="1224"/>
    </row>
    <row r="1045" spans="1:4" x14ac:dyDescent="0.2">
      <c r="A1045" s="1164"/>
      <c r="B1045" s="1164"/>
      <c r="D1045" s="1224"/>
    </row>
    <row r="1046" spans="1:4" x14ac:dyDescent="0.2">
      <c r="A1046" s="1164"/>
      <c r="B1046" s="1164"/>
      <c r="D1046" s="1224"/>
    </row>
    <row r="1047" spans="1:4" x14ac:dyDescent="0.2">
      <c r="A1047" s="1164"/>
      <c r="B1047" s="1164"/>
      <c r="D1047" s="1224"/>
    </row>
    <row r="1048" spans="1:4" x14ac:dyDescent="0.2">
      <c r="A1048" s="1164"/>
      <c r="B1048" s="1164"/>
      <c r="D1048" s="1224"/>
    </row>
    <row r="1049" spans="1:4" x14ac:dyDescent="0.2">
      <c r="A1049" s="1164"/>
      <c r="B1049" s="1164"/>
      <c r="D1049" s="1224"/>
    </row>
    <row r="1050" spans="1:4" x14ac:dyDescent="0.2">
      <c r="A1050" s="1164"/>
      <c r="B1050" s="1164"/>
      <c r="D1050" s="1224"/>
    </row>
    <row r="1051" spans="1:4" x14ac:dyDescent="0.2">
      <c r="A1051" s="1164"/>
      <c r="B1051" s="1164"/>
      <c r="D1051" s="1224"/>
    </row>
    <row r="1052" spans="1:4" x14ac:dyDescent="0.2">
      <c r="A1052" s="1164"/>
      <c r="B1052" s="1164"/>
      <c r="D1052" s="1224"/>
    </row>
    <row r="1053" spans="1:4" x14ac:dyDescent="0.2">
      <c r="A1053" s="1164"/>
      <c r="B1053" s="1164"/>
      <c r="D1053" s="1224"/>
    </row>
    <row r="1054" spans="1:4" x14ac:dyDescent="0.2">
      <c r="A1054" s="1164"/>
      <c r="B1054" s="1164"/>
      <c r="D1054" s="1224"/>
    </row>
    <row r="1055" spans="1:4" x14ac:dyDescent="0.2">
      <c r="A1055" s="1164"/>
      <c r="B1055" s="1164"/>
      <c r="D1055" s="1224"/>
    </row>
    <row r="1056" spans="1:4" x14ac:dyDescent="0.2">
      <c r="A1056" s="1164"/>
      <c r="B1056" s="1164"/>
      <c r="D1056" s="1224"/>
    </row>
    <row r="1057" spans="1:4" x14ac:dyDescent="0.2">
      <c r="A1057" s="1164"/>
      <c r="B1057" s="1164"/>
      <c r="D1057" s="1224"/>
    </row>
    <row r="1058" spans="1:4" x14ac:dyDescent="0.2">
      <c r="A1058" s="1164"/>
      <c r="B1058" s="1164"/>
      <c r="D1058" s="1224"/>
    </row>
    <row r="1059" spans="1:4" x14ac:dyDescent="0.2">
      <c r="A1059" s="1164"/>
      <c r="B1059" s="1164"/>
      <c r="D1059" s="1224"/>
    </row>
    <row r="1060" spans="1:4" x14ac:dyDescent="0.2">
      <c r="A1060" s="1164"/>
      <c r="B1060" s="1164"/>
      <c r="D1060" s="1224"/>
    </row>
    <row r="1061" spans="1:4" x14ac:dyDescent="0.2">
      <c r="A1061" s="1164"/>
      <c r="B1061" s="1164"/>
      <c r="D1061" s="1224"/>
    </row>
    <row r="1062" spans="1:4" x14ac:dyDescent="0.2">
      <c r="A1062" s="1164"/>
      <c r="B1062" s="1164"/>
      <c r="D1062" s="1224"/>
    </row>
    <row r="1063" spans="1:4" x14ac:dyDescent="0.2">
      <c r="A1063" s="1164"/>
      <c r="B1063" s="1164"/>
      <c r="D1063" s="1224"/>
    </row>
    <row r="1064" spans="1:4" x14ac:dyDescent="0.2">
      <c r="A1064" s="1164"/>
      <c r="B1064" s="1164"/>
      <c r="D1064" s="1224"/>
    </row>
    <row r="1065" spans="1:4" x14ac:dyDescent="0.2">
      <c r="A1065" s="1164"/>
      <c r="B1065" s="1164"/>
      <c r="D1065" s="1224"/>
    </row>
    <row r="1066" spans="1:4" x14ac:dyDescent="0.2">
      <c r="A1066" s="1164"/>
      <c r="B1066" s="1164"/>
      <c r="D1066" s="1224"/>
    </row>
    <row r="1067" spans="1:4" x14ac:dyDescent="0.2">
      <c r="A1067" s="1164"/>
      <c r="B1067" s="1164"/>
      <c r="D1067" s="1224"/>
    </row>
    <row r="1068" spans="1:4" x14ac:dyDescent="0.2">
      <c r="A1068" s="1164"/>
      <c r="B1068" s="1164"/>
      <c r="D1068" s="1224"/>
    </row>
    <row r="1069" spans="1:4" x14ac:dyDescent="0.2">
      <c r="A1069" s="1164"/>
      <c r="B1069" s="1164"/>
      <c r="D1069" s="1224"/>
    </row>
    <row r="1070" spans="1:4" x14ac:dyDescent="0.2">
      <c r="A1070" s="1164"/>
      <c r="B1070" s="1164"/>
      <c r="D1070" s="1224"/>
    </row>
    <row r="1071" spans="1:4" x14ac:dyDescent="0.2">
      <c r="A1071" s="1164"/>
      <c r="B1071" s="1164"/>
      <c r="D1071" s="1224"/>
    </row>
    <row r="1072" spans="1:4" x14ac:dyDescent="0.2">
      <c r="A1072" s="1164"/>
      <c r="B1072" s="1164"/>
      <c r="D1072" s="1224"/>
    </row>
    <row r="1073" spans="1:4" x14ac:dyDescent="0.2">
      <c r="A1073" s="1164"/>
      <c r="B1073" s="1164"/>
      <c r="D1073" s="1224"/>
    </row>
    <row r="1074" spans="1:4" x14ac:dyDescent="0.2">
      <c r="A1074" s="1164"/>
      <c r="B1074" s="1164"/>
      <c r="D1074" s="1224"/>
    </row>
    <row r="1075" spans="1:4" x14ac:dyDescent="0.2">
      <c r="A1075" s="1164"/>
      <c r="B1075" s="1164"/>
      <c r="D1075" s="1224"/>
    </row>
    <row r="1076" spans="1:4" x14ac:dyDescent="0.2">
      <c r="A1076" s="1164"/>
      <c r="B1076" s="1164"/>
      <c r="D1076" s="1224"/>
    </row>
    <row r="1077" spans="1:4" x14ac:dyDescent="0.2">
      <c r="A1077" s="1164"/>
      <c r="B1077" s="1164"/>
      <c r="D1077" s="1224"/>
    </row>
    <row r="1078" spans="1:4" x14ac:dyDescent="0.2">
      <c r="A1078" s="1164"/>
      <c r="B1078" s="1164"/>
      <c r="D1078" s="1224"/>
    </row>
    <row r="1079" spans="1:4" x14ac:dyDescent="0.2">
      <c r="A1079" s="1164"/>
      <c r="B1079" s="1164"/>
      <c r="D1079" s="1224"/>
    </row>
    <row r="1080" spans="1:4" x14ac:dyDescent="0.2">
      <c r="A1080" s="1164"/>
      <c r="B1080" s="1164"/>
      <c r="D1080" s="1224"/>
    </row>
    <row r="1081" spans="1:4" x14ac:dyDescent="0.2">
      <c r="A1081" s="1164"/>
      <c r="B1081" s="1164"/>
      <c r="D1081" s="1224"/>
    </row>
    <row r="1082" spans="1:4" x14ac:dyDescent="0.2">
      <c r="A1082" s="1164"/>
      <c r="B1082" s="1164"/>
      <c r="D1082" s="1224"/>
    </row>
    <row r="1083" spans="1:4" x14ac:dyDescent="0.2">
      <c r="A1083" s="1164"/>
      <c r="B1083" s="1164"/>
      <c r="D1083" s="1224"/>
    </row>
    <row r="1084" spans="1:4" x14ac:dyDescent="0.2">
      <c r="A1084" s="1164"/>
      <c r="B1084" s="1164"/>
      <c r="D1084" s="1224"/>
    </row>
    <row r="1085" spans="1:4" x14ac:dyDescent="0.2">
      <c r="A1085" s="1164"/>
      <c r="B1085" s="1164"/>
      <c r="D1085" s="1224"/>
    </row>
    <row r="1086" spans="1:4" x14ac:dyDescent="0.2">
      <c r="A1086" s="1164"/>
      <c r="B1086" s="1164"/>
      <c r="D1086" s="1224"/>
    </row>
    <row r="1087" spans="1:4" x14ac:dyDescent="0.2">
      <c r="A1087" s="1164"/>
      <c r="B1087" s="1164"/>
      <c r="D1087" s="1224"/>
    </row>
    <row r="1088" spans="1:4" x14ac:dyDescent="0.2">
      <c r="A1088" s="1164"/>
      <c r="B1088" s="1164"/>
      <c r="D1088" s="1224"/>
    </row>
    <row r="1089" spans="1:4" x14ac:dyDescent="0.2">
      <c r="A1089" s="1164"/>
      <c r="B1089" s="1164"/>
      <c r="D1089" s="1224"/>
    </row>
    <row r="1090" spans="1:4" x14ac:dyDescent="0.2">
      <c r="A1090" s="1164"/>
      <c r="B1090" s="1164"/>
      <c r="D1090" s="1224"/>
    </row>
    <row r="1091" spans="1:4" x14ac:dyDescent="0.2">
      <c r="A1091" s="1164"/>
      <c r="B1091" s="1164"/>
      <c r="D1091" s="1224"/>
    </row>
    <row r="1092" spans="1:4" x14ac:dyDescent="0.2">
      <c r="A1092" s="1164"/>
      <c r="B1092" s="1164"/>
      <c r="D1092" s="1224"/>
    </row>
    <row r="1093" spans="1:4" x14ac:dyDescent="0.2">
      <c r="A1093" s="1164"/>
      <c r="B1093" s="1164"/>
      <c r="D1093" s="1224"/>
    </row>
    <row r="1094" spans="1:4" x14ac:dyDescent="0.2">
      <c r="A1094" s="1164"/>
      <c r="B1094" s="1164"/>
      <c r="D1094" s="1224"/>
    </row>
    <row r="1095" spans="1:4" x14ac:dyDescent="0.2">
      <c r="A1095" s="1164"/>
      <c r="B1095" s="1164"/>
      <c r="D1095" s="1224"/>
    </row>
    <row r="1096" spans="1:4" x14ac:dyDescent="0.2">
      <c r="A1096" s="1164"/>
      <c r="B1096" s="1164"/>
      <c r="D1096" s="1224"/>
    </row>
    <row r="1097" spans="1:4" x14ac:dyDescent="0.2">
      <c r="A1097" s="1164"/>
      <c r="B1097" s="1164"/>
      <c r="D1097" s="1224"/>
    </row>
    <row r="1098" spans="1:4" x14ac:dyDescent="0.2">
      <c r="A1098" s="1164"/>
      <c r="B1098" s="1164"/>
      <c r="D1098" s="1224"/>
    </row>
    <row r="1099" spans="1:4" x14ac:dyDescent="0.2">
      <c r="A1099" s="1164"/>
      <c r="B1099" s="1164"/>
      <c r="D1099" s="1224"/>
    </row>
    <row r="1100" spans="1:4" x14ac:dyDescent="0.2">
      <c r="A1100" s="1164"/>
      <c r="B1100" s="1164"/>
      <c r="D1100" s="1224"/>
    </row>
    <row r="1101" spans="1:4" x14ac:dyDescent="0.2">
      <c r="A1101" s="1164"/>
      <c r="B1101" s="1164"/>
      <c r="D1101" s="1224"/>
    </row>
    <row r="1102" spans="1:4" x14ac:dyDescent="0.2">
      <c r="A1102" s="1164"/>
      <c r="B1102" s="1164"/>
      <c r="D1102" s="1224"/>
    </row>
    <row r="1103" spans="1:4" x14ac:dyDescent="0.2">
      <c r="A1103" s="1164"/>
      <c r="B1103" s="1164"/>
      <c r="D1103" s="1224"/>
    </row>
    <row r="1104" spans="1:4" x14ac:dyDescent="0.2">
      <c r="A1104" s="1164"/>
      <c r="B1104" s="1164"/>
      <c r="D1104" s="1224"/>
    </row>
    <row r="1105" spans="1:4" x14ac:dyDescent="0.2">
      <c r="A1105" s="1164"/>
      <c r="B1105" s="1164"/>
      <c r="D1105" s="1224"/>
    </row>
    <row r="1106" spans="1:4" x14ac:dyDescent="0.2">
      <c r="A1106" s="1164"/>
      <c r="B1106" s="1164"/>
      <c r="D1106" s="1224"/>
    </row>
    <row r="1107" spans="1:4" x14ac:dyDescent="0.2">
      <c r="A1107" s="1164"/>
      <c r="B1107" s="1164"/>
      <c r="D1107" s="1224"/>
    </row>
    <row r="1108" spans="1:4" x14ac:dyDescent="0.2">
      <c r="A1108" s="1164"/>
      <c r="B1108" s="1164"/>
      <c r="D1108" s="1224"/>
    </row>
    <row r="1109" spans="1:4" x14ac:dyDescent="0.2">
      <c r="A1109" s="1164"/>
      <c r="B1109" s="1164"/>
      <c r="D1109" s="1224"/>
    </row>
    <row r="1110" spans="1:4" x14ac:dyDescent="0.2">
      <c r="A1110" s="1164"/>
      <c r="B1110" s="1164"/>
      <c r="D1110" s="1224"/>
    </row>
    <row r="1111" spans="1:4" x14ac:dyDescent="0.2">
      <c r="A1111" s="1164"/>
      <c r="B1111" s="1164"/>
      <c r="D1111" s="1224"/>
    </row>
    <row r="1112" spans="1:4" x14ac:dyDescent="0.2">
      <c r="A1112" s="1164"/>
      <c r="B1112" s="1164"/>
      <c r="D1112" s="1224"/>
    </row>
    <row r="1113" spans="1:4" x14ac:dyDescent="0.2">
      <c r="A1113" s="1164"/>
      <c r="B1113" s="1164"/>
      <c r="D1113" s="1224"/>
    </row>
    <row r="1114" spans="1:4" x14ac:dyDescent="0.2">
      <c r="A1114" s="1164"/>
      <c r="B1114" s="1164"/>
      <c r="D1114" s="1224"/>
    </row>
    <row r="1115" spans="1:4" x14ac:dyDescent="0.2">
      <c r="A1115" s="1164"/>
      <c r="B1115" s="1164"/>
      <c r="D1115" s="1224"/>
    </row>
    <row r="1116" spans="1:4" x14ac:dyDescent="0.2">
      <c r="A1116" s="1164"/>
      <c r="B1116" s="1164"/>
      <c r="D1116" s="1224"/>
    </row>
    <row r="1117" spans="1:4" x14ac:dyDescent="0.2">
      <c r="A1117" s="1164"/>
      <c r="B1117" s="1164"/>
      <c r="D1117" s="1224"/>
    </row>
    <row r="1118" spans="1:4" x14ac:dyDescent="0.2">
      <c r="A1118" s="1164"/>
      <c r="B1118" s="1164"/>
      <c r="D1118" s="1224"/>
    </row>
    <row r="1119" spans="1:4" x14ac:dyDescent="0.2">
      <c r="A1119" s="1164"/>
      <c r="B1119" s="1164"/>
      <c r="D1119" s="1224"/>
    </row>
    <row r="1120" spans="1:4" x14ac:dyDescent="0.2">
      <c r="A1120" s="1164"/>
      <c r="B1120" s="1164"/>
      <c r="D1120" s="1224"/>
    </row>
    <row r="1121" spans="1:4" x14ac:dyDescent="0.2">
      <c r="A1121" s="1164"/>
      <c r="B1121" s="1164"/>
      <c r="D1121" s="1224"/>
    </row>
    <row r="1122" spans="1:4" x14ac:dyDescent="0.2">
      <c r="A1122" s="1164"/>
      <c r="B1122" s="1164"/>
      <c r="D1122" s="1224"/>
    </row>
    <row r="1123" spans="1:4" x14ac:dyDescent="0.2">
      <c r="A1123" s="1164"/>
      <c r="B1123" s="1164"/>
      <c r="D1123" s="1224"/>
    </row>
    <row r="1124" spans="1:4" x14ac:dyDescent="0.2">
      <c r="A1124" s="1164"/>
      <c r="B1124" s="1164"/>
      <c r="D1124" s="1224"/>
    </row>
    <row r="1125" spans="1:4" x14ac:dyDescent="0.2">
      <c r="A1125" s="1164"/>
      <c r="B1125" s="1164"/>
      <c r="D1125" s="1224"/>
    </row>
    <row r="1126" spans="1:4" x14ac:dyDescent="0.2">
      <c r="A1126" s="1164"/>
      <c r="B1126" s="1164"/>
      <c r="D1126" s="1224"/>
    </row>
    <row r="1127" spans="1:4" x14ac:dyDescent="0.2">
      <c r="A1127" s="1164"/>
      <c r="B1127" s="1164"/>
      <c r="D1127" s="1224"/>
    </row>
    <row r="1128" spans="1:4" x14ac:dyDescent="0.2">
      <c r="A1128" s="1164"/>
      <c r="B1128" s="1164"/>
      <c r="D1128" s="1224"/>
    </row>
    <row r="1129" spans="1:4" x14ac:dyDescent="0.2">
      <c r="A1129" s="1164"/>
      <c r="B1129" s="1164"/>
      <c r="D1129" s="1224"/>
    </row>
    <row r="1130" spans="1:4" x14ac:dyDescent="0.2">
      <c r="A1130" s="1164"/>
      <c r="B1130" s="1164"/>
      <c r="D1130" s="1224"/>
    </row>
    <row r="1131" spans="1:4" x14ac:dyDescent="0.2">
      <c r="A1131" s="1164"/>
      <c r="B1131" s="1164"/>
      <c r="D1131" s="1224"/>
    </row>
    <row r="1132" spans="1:4" x14ac:dyDescent="0.2">
      <c r="A1132" s="1164"/>
      <c r="B1132" s="1164"/>
      <c r="D1132" s="1224"/>
    </row>
    <row r="1133" spans="1:4" x14ac:dyDescent="0.2">
      <c r="A1133" s="1164"/>
      <c r="B1133" s="1164"/>
      <c r="D1133" s="1224"/>
    </row>
    <row r="1134" spans="1:4" x14ac:dyDescent="0.2">
      <c r="A1134" s="1164"/>
      <c r="B1134" s="1164"/>
      <c r="D1134" s="1224"/>
    </row>
    <row r="1135" spans="1:4" x14ac:dyDescent="0.2">
      <c r="A1135" s="1164"/>
      <c r="B1135" s="1164"/>
      <c r="D1135" s="1224"/>
    </row>
    <row r="1136" spans="1:4" x14ac:dyDescent="0.2">
      <c r="A1136" s="1164"/>
      <c r="B1136" s="1164"/>
      <c r="D1136" s="1224"/>
    </row>
    <row r="1137" spans="1:4" x14ac:dyDescent="0.2">
      <c r="A1137" s="1164"/>
      <c r="B1137" s="1164"/>
      <c r="D1137" s="1224"/>
    </row>
    <row r="1138" spans="1:4" x14ac:dyDescent="0.2">
      <c r="A1138" s="1164"/>
      <c r="B1138" s="1164"/>
      <c r="D1138" s="1224"/>
    </row>
    <row r="1139" spans="1:4" x14ac:dyDescent="0.2">
      <c r="A1139" s="1164"/>
      <c r="B1139" s="1164"/>
      <c r="D1139" s="1224"/>
    </row>
    <row r="1140" spans="1:4" x14ac:dyDescent="0.2">
      <c r="A1140" s="1164"/>
      <c r="B1140" s="1164"/>
      <c r="D1140" s="1224"/>
    </row>
    <row r="1141" spans="1:4" x14ac:dyDescent="0.2">
      <c r="A1141" s="1164"/>
      <c r="B1141" s="1164"/>
      <c r="D1141" s="1224"/>
    </row>
    <row r="1142" spans="1:4" x14ac:dyDescent="0.2">
      <c r="A1142" s="1164"/>
      <c r="B1142" s="1164"/>
      <c r="D1142" s="1224"/>
    </row>
    <row r="1143" spans="1:4" x14ac:dyDescent="0.2">
      <c r="A1143" s="1164"/>
      <c r="B1143" s="1164"/>
      <c r="D1143" s="1224"/>
    </row>
    <row r="1144" spans="1:4" x14ac:dyDescent="0.2">
      <c r="A1144" s="1164"/>
      <c r="B1144" s="1164"/>
      <c r="D1144" s="1224"/>
    </row>
    <row r="1145" spans="1:4" x14ac:dyDescent="0.2">
      <c r="A1145" s="1164"/>
      <c r="B1145" s="1164"/>
      <c r="D1145" s="1224"/>
    </row>
    <row r="1146" spans="1:4" x14ac:dyDescent="0.2">
      <c r="A1146" s="1164"/>
      <c r="B1146" s="1164"/>
      <c r="D1146" s="1224"/>
    </row>
    <row r="1147" spans="1:4" x14ac:dyDescent="0.2">
      <c r="A1147" s="1164"/>
      <c r="B1147" s="1164"/>
      <c r="D1147" s="1224"/>
    </row>
    <row r="1148" spans="1:4" x14ac:dyDescent="0.2">
      <c r="A1148" s="1164"/>
      <c r="B1148" s="1164"/>
      <c r="D1148" s="1224"/>
    </row>
    <row r="1149" spans="1:4" x14ac:dyDescent="0.2">
      <c r="A1149" s="1164"/>
      <c r="B1149" s="1164"/>
      <c r="D1149" s="1224"/>
    </row>
    <row r="1150" spans="1:4" x14ac:dyDescent="0.2">
      <c r="A1150" s="1164"/>
      <c r="B1150" s="1164"/>
      <c r="D1150" s="1224"/>
    </row>
    <row r="1151" spans="1:4" x14ac:dyDescent="0.2">
      <c r="A1151" s="1164"/>
      <c r="B1151" s="1164"/>
      <c r="D1151" s="1224"/>
    </row>
    <row r="1152" spans="1:4" x14ac:dyDescent="0.2">
      <c r="A1152" s="1164"/>
      <c r="B1152" s="1164"/>
      <c r="D1152" s="1224"/>
    </row>
    <row r="1153" spans="1:4" x14ac:dyDescent="0.2">
      <c r="A1153" s="1164"/>
      <c r="B1153" s="1164"/>
      <c r="D1153" s="1224"/>
    </row>
    <row r="1154" spans="1:4" x14ac:dyDescent="0.2">
      <c r="A1154" s="1164"/>
      <c r="B1154" s="1164"/>
      <c r="D1154" s="1224"/>
    </row>
    <row r="1155" spans="1:4" x14ac:dyDescent="0.2">
      <c r="A1155" s="1164"/>
      <c r="B1155" s="1164"/>
      <c r="D1155" s="1224"/>
    </row>
    <row r="1156" spans="1:4" x14ac:dyDescent="0.2">
      <c r="A1156" s="1164"/>
      <c r="B1156" s="1164"/>
      <c r="D1156" s="1224"/>
    </row>
    <row r="1157" spans="1:4" x14ac:dyDescent="0.2">
      <c r="A1157" s="1164"/>
      <c r="B1157" s="1164"/>
      <c r="D1157" s="1224"/>
    </row>
    <row r="1158" spans="1:4" x14ac:dyDescent="0.2">
      <c r="A1158" s="1164"/>
      <c r="B1158" s="1164"/>
      <c r="D1158" s="1224"/>
    </row>
    <row r="1159" spans="1:4" x14ac:dyDescent="0.2">
      <c r="A1159" s="1164"/>
      <c r="B1159" s="1164"/>
      <c r="D1159" s="1224"/>
    </row>
    <row r="1160" spans="1:4" x14ac:dyDescent="0.2">
      <c r="A1160" s="1164"/>
      <c r="B1160" s="1164"/>
      <c r="D1160" s="1224"/>
    </row>
    <row r="1161" spans="1:4" x14ac:dyDescent="0.2">
      <c r="A1161" s="1164"/>
      <c r="B1161" s="1164"/>
      <c r="D1161" s="1224"/>
    </row>
    <row r="1162" spans="1:4" x14ac:dyDescent="0.2">
      <c r="A1162" s="1164"/>
      <c r="B1162" s="1164"/>
      <c r="D1162" s="1224"/>
    </row>
    <row r="1163" spans="1:4" x14ac:dyDescent="0.2">
      <c r="A1163" s="1164"/>
      <c r="B1163" s="1164"/>
      <c r="D1163" s="1224"/>
    </row>
    <row r="1164" spans="1:4" x14ac:dyDescent="0.2">
      <c r="A1164" s="1164"/>
      <c r="B1164" s="1164"/>
      <c r="D1164" s="1224"/>
    </row>
    <row r="1165" spans="1:4" x14ac:dyDescent="0.2">
      <c r="A1165" s="1164"/>
      <c r="B1165" s="1164"/>
      <c r="D1165" s="1224"/>
    </row>
    <row r="1166" spans="1:4" x14ac:dyDescent="0.2">
      <c r="A1166" s="1164"/>
      <c r="B1166" s="1164"/>
      <c r="D1166" s="1224"/>
    </row>
    <row r="1167" spans="1:4" x14ac:dyDescent="0.2">
      <c r="A1167" s="1164"/>
      <c r="B1167" s="1164"/>
      <c r="D1167" s="1224"/>
    </row>
    <row r="1168" spans="1:4" x14ac:dyDescent="0.2">
      <c r="A1168" s="1164"/>
      <c r="B1168" s="1164"/>
      <c r="D1168" s="1224"/>
    </row>
    <row r="1169" spans="1:4" x14ac:dyDescent="0.2">
      <c r="A1169" s="1164"/>
      <c r="B1169" s="1164"/>
      <c r="D1169" s="1224"/>
    </row>
    <row r="1170" spans="1:4" x14ac:dyDescent="0.2">
      <c r="A1170" s="1164"/>
      <c r="B1170" s="1164"/>
      <c r="D1170" s="1224"/>
    </row>
    <row r="1171" spans="1:4" x14ac:dyDescent="0.2">
      <c r="A1171" s="1164"/>
      <c r="B1171" s="1164"/>
      <c r="D1171" s="1224"/>
    </row>
    <row r="1172" spans="1:4" x14ac:dyDescent="0.2">
      <c r="A1172" s="1164"/>
      <c r="B1172" s="1164"/>
      <c r="D1172" s="1224"/>
    </row>
    <row r="1173" spans="1:4" x14ac:dyDescent="0.2">
      <c r="A1173" s="1164"/>
      <c r="B1173" s="1164"/>
      <c r="D1173" s="1224"/>
    </row>
    <row r="1174" spans="1:4" x14ac:dyDescent="0.2">
      <c r="A1174" s="1164"/>
      <c r="B1174" s="1164"/>
      <c r="D1174" s="1224"/>
    </row>
    <row r="1175" spans="1:4" x14ac:dyDescent="0.2">
      <c r="A1175" s="1164"/>
      <c r="B1175" s="1164"/>
      <c r="D1175" s="1224"/>
    </row>
    <row r="1176" spans="1:4" x14ac:dyDescent="0.2">
      <c r="A1176" s="1164"/>
      <c r="B1176" s="1164"/>
      <c r="D1176" s="1224"/>
    </row>
    <row r="1177" spans="1:4" x14ac:dyDescent="0.2">
      <c r="A1177" s="1164"/>
      <c r="B1177" s="1164"/>
      <c r="D1177" s="1224"/>
    </row>
    <row r="1178" spans="1:4" x14ac:dyDescent="0.2">
      <c r="A1178" s="1164"/>
      <c r="B1178" s="1164"/>
      <c r="D1178" s="1224"/>
    </row>
    <row r="1179" spans="1:4" x14ac:dyDescent="0.2">
      <c r="A1179" s="1164"/>
      <c r="B1179" s="1164"/>
      <c r="D1179" s="1224"/>
    </row>
    <row r="1180" spans="1:4" x14ac:dyDescent="0.2">
      <c r="A1180" s="1164"/>
      <c r="B1180" s="1164"/>
      <c r="D1180" s="1224"/>
    </row>
    <row r="1181" spans="1:4" x14ac:dyDescent="0.2">
      <c r="A1181" s="1164"/>
      <c r="B1181" s="1164"/>
      <c r="D1181" s="1224"/>
    </row>
    <row r="1182" spans="1:4" x14ac:dyDescent="0.2">
      <c r="A1182" s="1164"/>
      <c r="B1182" s="1164"/>
      <c r="D1182" s="1224"/>
    </row>
    <row r="1183" spans="1:4" x14ac:dyDescent="0.2">
      <c r="A1183" s="1164"/>
      <c r="B1183" s="1164"/>
      <c r="D1183" s="1224"/>
    </row>
    <row r="1184" spans="1:4" x14ac:dyDescent="0.2">
      <c r="A1184" s="1164"/>
      <c r="B1184" s="1164"/>
      <c r="D1184" s="1224"/>
    </row>
    <row r="1185" spans="1:4" x14ac:dyDescent="0.2">
      <c r="A1185" s="1164"/>
      <c r="B1185" s="1164"/>
      <c r="D1185" s="1224"/>
    </row>
    <row r="1186" spans="1:4" x14ac:dyDescent="0.2">
      <c r="A1186" s="1164"/>
      <c r="B1186" s="1164"/>
      <c r="D1186" s="1224"/>
    </row>
    <row r="1187" spans="1:4" x14ac:dyDescent="0.2">
      <c r="A1187" s="1164"/>
      <c r="B1187" s="1164"/>
      <c r="D1187" s="1224"/>
    </row>
    <row r="1188" spans="1:4" x14ac:dyDescent="0.2">
      <c r="A1188" s="1164"/>
      <c r="B1188" s="1164"/>
      <c r="D1188" s="1224"/>
    </row>
    <row r="1189" spans="1:4" x14ac:dyDescent="0.2">
      <c r="A1189" s="1164"/>
      <c r="B1189" s="1164"/>
      <c r="D1189" s="1224"/>
    </row>
    <row r="1190" spans="1:4" x14ac:dyDescent="0.2">
      <c r="A1190" s="1164"/>
      <c r="B1190" s="1164"/>
      <c r="D1190" s="1224"/>
    </row>
    <row r="1191" spans="1:4" x14ac:dyDescent="0.2">
      <c r="A1191" s="1164"/>
      <c r="B1191" s="1164"/>
      <c r="D1191" s="1224"/>
    </row>
    <row r="1192" spans="1:4" x14ac:dyDescent="0.2">
      <c r="A1192" s="1164"/>
      <c r="B1192" s="1164"/>
      <c r="D1192" s="1224"/>
    </row>
    <row r="1193" spans="1:4" x14ac:dyDescent="0.2">
      <c r="A1193" s="1164"/>
      <c r="B1193" s="1164"/>
      <c r="D1193" s="1224"/>
    </row>
    <row r="1194" spans="1:4" x14ac:dyDescent="0.2">
      <c r="A1194" s="1164"/>
      <c r="B1194" s="1164"/>
      <c r="D1194" s="1224"/>
    </row>
    <row r="1195" spans="1:4" x14ac:dyDescent="0.2">
      <c r="A1195" s="1164"/>
      <c r="B1195" s="1164"/>
      <c r="D1195" s="1224"/>
    </row>
    <row r="1196" spans="1:4" x14ac:dyDescent="0.2">
      <c r="A1196" s="1164"/>
      <c r="B1196" s="1164"/>
      <c r="D1196" s="1224"/>
    </row>
    <row r="1197" spans="1:4" x14ac:dyDescent="0.2">
      <c r="A1197" s="1164"/>
      <c r="B1197" s="1164"/>
      <c r="D1197" s="1224"/>
    </row>
    <row r="1198" spans="1:4" x14ac:dyDescent="0.2">
      <c r="A1198" s="1164"/>
      <c r="B1198" s="1164"/>
      <c r="D1198" s="1224"/>
    </row>
    <row r="1199" spans="1:4" x14ac:dyDescent="0.2">
      <c r="A1199" s="1164"/>
      <c r="B1199" s="1164"/>
      <c r="D1199" s="1224"/>
    </row>
    <row r="1200" spans="1:4" x14ac:dyDescent="0.2">
      <c r="A1200" s="1164"/>
      <c r="B1200" s="1164"/>
      <c r="D1200" s="1224"/>
    </row>
    <row r="1201" spans="1:4" x14ac:dyDescent="0.2">
      <c r="A1201" s="1164"/>
      <c r="B1201" s="1164"/>
      <c r="D1201" s="1224"/>
    </row>
    <row r="1202" spans="1:4" x14ac:dyDescent="0.2">
      <c r="A1202" s="1164"/>
      <c r="B1202" s="1164"/>
      <c r="D1202" s="1224"/>
    </row>
    <row r="1203" spans="1:4" x14ac:dyDescent="0.2">
      <c r="A1203" s="1164"/>
      <c r="B1203" s="1164"/>
      <c r="D1203" s="1224"/>
    </row>
    <row r="1204" spans="1:4" x14ac:dyDescent="0.2">
      <c r="A1204" s="1164"/>
      <c r="B1204" s="1164"/>
      <c r="D1204" s="1224"/>
    </row>
    <row r="1205" spans="1:4" x14ac:dyDescent="0.2">
      <c r="A1205" s="1164"/>
      <c r="B1205" s="1164"/>
      <c r="D1205" s="1224"/>
    </row>
    <row r="1206" spans="1:4" x14ac:dyDescent="0.2">
      <c r="A1206" s="1164"/>
      <c r="B1206" s="1164"/>
      <c r="D1206" s="1224"/>
    </row>
    <row r="1207" spans="1:4" x14ac:dyDescent="0.2">
      <c r="A1207" s="1164"/>
      <c r="B1207" s="1164"/>
      <c r="D1207" s="1224"/>
    </row>
    <row r="1208" spans="1:4" x14ac:dyDescent="0.2">
      <c r="A1208" s="1164"/>
      <c r="B1208" s="1164"/>
      <c r="D1208" s="1224"/>
    </row>
    <row r="1209" spans="1:4" x14ac:dyDescent="0.2">
      <c r="A1209" s="1164"/>
      <c r="B1209" s="1164"/>
      <c r="D1209" s="1224"/>
    </row>
    <row r="1210" spans="1:4" x14ac:dyDescent="0.2">
      <c r="A1210" s="1164"/>
      <c r="B1210" s="1164"/>
      <c r="D1210" s="1224"/>
    </row>
    <row r="1211" spans="1:4" x14ac:dyDescent="0.2">
      <c r="A1211" s="1164"/>
      <c r="B1211" s="1164"/>
      <c r="D1211" s="1224"/>
    </row>
    <row r="1212" spans="1:4" x14ac:dyDescent="0.2">
      <c r="A1212" s="1164"/>
      <c r="B1212" s="1164"/>
      <c r="D1212" s="1224"/>
    </row>
    <row r="1213" spans="1:4" x14ac:dyDescent="0.2">
      <c r="A1213" s="1164"/>
      <c r="B1213" s="1164"/>
      <c r="D1213" s="1224"/>
    </row>
    <row r="1214" spans="1:4" x14ac:dyDescent="0.2">
      <c r="A1214" s="1164"/>
      <c r="B1214" s="1164"/>
      <c r="D1214" s="1224"/>
    </row>
    <row r="1215" spans="1:4" x14ac:dyDescent="0.2">
      <c r="A1215" s="1164"/>
      <c r="B1215" s="1164"/>
      <c r="D1215" s="1224"/>
    </row>
    <row r="1216" spans="1:4" x14ac:dyDescent="0.2">
      <c r="A1216" s="1164"/>
      <c r="B1216" s="1164"/>
      <c r="D1216" s="1224"/>
    </row>
    <row r="1217" spans="1:4" x14ac:dyDescent="0.2">
      <c r="A1217" s="1164"/>
      <c r="B1217" s="1164"/>
      <c r="D1217" s="1224"/>
    </row>
    <row r="1218" spans="1:4" x14ac:dyDescent="0.2">
      <c r="A1218" s="1164"/>
      <c r="B1218" s="1164"/>
      <c r="D1218" s="1224"/>
    </row>
    <row r="1219" spans="1:4" x14ac:dyDescent="0.2">
      <c r="A1219" s="1164"/>
      <c r="B1219" s="1164"/>
      <c r="D1219" s="1224"/>
    </row>
    <row r="1220" spans="1:4" x14ac:dyDescent="0.2">
      <c r="A1220" s="1164"/>
      <c r="B1220" s="1164"/>
      <c r="D1220" s="1224"/>
    </row>
    <row r="1221" spans="1:4" x14ac:dyDescent="0.2">
      <c r="A1221" s="1164"/>
      <c r="B1221" s="1164"/>
      <c r="D1221" s="1224"/>
    </row>
    <row r="1222" spans="1:4" x14ac:dyDescent="0.2">
      <c r="A1222" s="1164"/>
      <c r="B1222" s="1164"/>
      <c r="D1222" s="1224"/>
    </row>
    <row r="1223" spans="1:4" x14ac:dyDescent="0.2">
      <c r="A1223" s="1164"/>
      <c r="B1223" s="1164"/>
      <c r="D1223" s="1224"/>
    </row>
    <row r="1224" spans="1:4" x14ac:dyDescent="0.2">
      <c r="A1224" s="1164"/>
      <c r="B1224" s="1164"/>
      <c r="D1224" s="1224"/>
    </row>
    <row r="1225" spans="1:4" x14ac:dyDescent="0.2">
      <c r="A1225" s="1164"/>
      <c r="B1225" s="1164"/>
      <c r="D1225" s="1224"/>
    </row>
    <row r="1226" spans="1:4" x14ac:dyDescent="0.2">
      <c r="A1226" s="1164"/>
      <c r="B1226" s="1164"/>
      <c r="D1226" s="1224"/>
    </row>
    <row r="1227" spans="1:4" x14ac:dyDescent="0.2">
      <c r="A1227" s="1164"/>
      <c r="B1227" s="1164"/>
      <c r="D1227" s="1224"/>
    </row>
    <row r="1228" spans="1:4" x14ac:dyDescent="0.2">
      <c r="A1228" s="1164"/>
      <c r="B1228" s="1164"/>
      <c r="D1228" s="1224"/>
    </row>
    <row r="1229" spans="1:4" x14ac:dyDescent="0.2">
      <c r="A1229" s="1164"/>
      <c r="B1229" s="1164"/>
      <c r="D1229" s="1224"/>
    </row>
    <row r="1230" spans="1:4" x14ac:dyDescent="0.2">
      <c r="A1230" s="1164"/>
      <c r="B1230" s="1164"/>
      <c r="D1230" s="1224"/>
    </row>
    <row r="1231" spans="1:4" x14ac:dyDescent="0.2">
      <c r="A1231" s="1164"/>
      <c r="B1231" s="1164"/>
      <c r="D1231" s="1224"/>
    </row>
    <row r="1232" spans="1:4" x14ac:dyDescent="0.2">
      <c r="A1232" s="1164"/>
      <c r="B1232" s="1164"/>
      <c r="D1232" s="1224"/>
    </row>
    <row r="1233" spans="1:4" x14ac:dyDescent="0.2">
      <c r="A1233" s="1164"/>
      <c r="B1233" s="1164"/>
      <c r="D1233" s="1224"/>
    </row>
    <row r="1234" spans="1:4" x14ac:dyDescent="0.2">
      <c r="A1234" s="1164"/>
      <c r="B1234" s="1164"/>
      <c r="D1234" s="1224"/>
    </row>
    <row r="1235" spans="1:4" x14ac:dyDescent="0.2">
      <c r="A1235" s="1164"/>
      <c r="B1235" s="1164"/>
      <c r="D1235" s="1224"/>
    </row>
    <row r="1236" spans="1:4" x14ac:dyDescent="0.2">
      <c r="A1236" s="1164"/>
      <c r="B1236" s="1164"/>
      <c r="D1236" s="1224"/>
    </row>
    <row r="1237" spans="1:4" x14ac:dyDescent="0.2">
      <c r="A1237" s="1164"/>
      <c r="B1237" s="1164"/>
      <c r="D1237" s="1224"/>
    </row>
    <row r="1238" spans="1:4" x14ac:dyDescent="0.2">
      <c r="A1238" s="1164"/>
      <c r="B1238" s="1164"/>
      <c r="D1238" s="1224"/>
    </row>
    <row r="1239" spans="1:4" x14ac:dyDescent="0.2">
      <c r="A1239" s="1164"/>
      <c r="B1239" s="1164"/>
      <c r="D1239" s="1224"/>
    </row>
    <row r="1240" spans="1:4" x14ac:dyDescent="0.2">
      <c r="A1240" s="1164"/>
      <c r="B1240" s="1164"/>
      <c r="D1240" s="1224"/>
    </row>
    <row r="1241" spans="1:4" x14ac:dyDescent="0.2">
      <c r="A1241" s="1164"/>
      <c r="B1241" s="1164"/>
      <c r="D1241" s="1224"/>
    </row>
    <row r="1242" spans="1:4" x14ac:dyDescent="0.2">
      <c r="A1242" s="1164"/>
      <c r="B1242" s="1164"/>
      <c r="D1242" s="1224"/>
    </row>
    <row r="1243" spans="1:4" x14ac:dyDescent="0.2">
      <c r="A1243" s="1164"/>
      <c r="B1243" s="1164"/>
      <c r="D1243" s="1224"/>
    </row>
    <row r="1244" spans="1:4" x14ac:dyDescent="0.2">
      <c r="A1244" s="1164"/>
      <c r="B1244" s="1164"/>
      <c r="D1244" s="1224"/>
    </row>
    <row r="1245" spans="1:4" x14ac:dyDescent="0.2">
      <c r="A1245" s="1164"/>
      <c r="B1245" s="1164"/>
      <c r="D1245" s="1224"/>
    </row>
    <row r="1246" spans="1:4" x14ac:dyDescent="0.2">
      <c r="A1246" s="1164"/>
      <c r="B1246" s="1164"/>
      <c r="D1246" s="1224"/>
    </row>
    <row r="1247" spans="1:4" x14ac:dyDescent="0.2">
      <c r="A1247" s="1164"/>
      <c r="B1247" s="1164"/>
      <c r="D1247" s="1224"/>
    </row>
    <row r="1248" spans="1:4" x14ac:dyDescent="0.2">
      <c r="A1248" s="1164"/>
      <c r="B1248" s="1164"/>
      <c r="D1248" s="1224"/>
    </row>
    <row r="1249" spans="1:4" x14ac:dyDescent="0.2">
      <c r="A1249" s="1164"/>
      <c r="B1249" s="1164"/>
      <c r="D1249" s="1224"/>
    </row>
    <row r="1250" spans="1:4" x14ac:dyDescent="0.2">
      <c r="A1250" s="1164"/>
      <c r="B1250" s="1164"/>
      <c r="D1250" s="1224"/>
    </row>
    <row r="1251" spans="1:4" x14ac:dyDescent="0.2">
      <c r="A1251" s="1164"/>
      <c r="B1251" s="1164"/>
      <c r="D1251" s="1224"/>
    </row>
    <row r="1252" spans="1:4" x14ac:dyDescent="0.2">
      <c r="A1252" s="1164"/>
      <c r="B1252" s="1164"/>
      <c r="D1252" s="1224"/>
    </row>
    <row r="1253" spans="1:4" x14ac:dyDescent="0.2">
      <c r="A1253" s="1164"/>
      <c r="B1253" s="1164"/>
      <c r="D1253" s="1224"/>
    </row>
    <row r="1254" spans="1:4" x14ac:dyDescent="0.2">
      <c r="A1254" s="1164"/>
      <c r="B1254" s="1164"/>
      <c r="D1254" s="1224"/>
    </row>
    <row r="1255" spans="1:4" x14ac:dyDescent="0.2">
      <c r="A1255" s="1164"/>
      <c r="B1255" s="1164"/>
      <c r="D1255" s="1224"/>
    </row>
    <row r="1256" spans="1:4" x14ac:dyDescent="0.2">
      <c r="A1256" s="1164"/>
      <c r="B1256" s="1164"/>
      <c r="D1256" s="1224"/>
    </row>
    <row r="1257" spans="1:4" x14ac:dyDescent="0.2">
      <c r="A1257" s="1164"/>
      <c r="B1257" s="1164"/>
      <c r="D1257" s="1224"/>
    </row>
    <row r="1258" spans="1:4" x14ac:dyDescent="0.2">
      <c r="A1258" s="1164"/>
      <c r="B1258" s="1164"/>
      <c r="D1258" s="1224"/>
    </row>
    <row r="1259" spans="1:4" x14ac:dyDescent="0.2">
      <c r="A1259" s="1164"/>
      <c r="B1259" s="1164"/>
      <c r="D1259" s="1224"/>
    </row>
    <row r="1260" spans="1:4" x14ac:dyDescent="0.2">
      <c r="A1260" s="1164"/>
      <c r="B1260" s="1164"/>
      <c r="D1260" s="1224"/>
    </row>
    <row r="1261" spans="1:4" x14ac:dyDescent="0.2">
      <c r="A1261" s="1164"/>
      <c r="B1261" s="1164"/>
      <c r="D1261" s="1224"/>
    </row>
    <row r="1262" spans="1:4" x14ac:dyDescent="0.2">
      <c r="A1262" s="1164"/>
      <c r="B1262" s="1164"/>
      <c r="D1262" s="1224"/>
    </row>
    <row r="1263" spans="1:4" x14ac:dyDescent="0.2">
      <c r="A1263" s="1164"/>
      <c r="B1263" s="1164"/>
      <c r="D1263" s="1224"/>
    </row>
    <row r="1264" spans="1:4" x14ac:dyDescent="0.2">
      <c r="A1264" s="1164"/>
      <c r="B1264" s="1164"/>
      <c r="D1264" s="1224"/>
    </row>
    <row r="1265" spans="1:4" x14ac:dyDescent="0.2">
      <c r="A1265" s="1164"/>
      <c r="B1265" s="1164"/>
      <c r="D1265" s="1224"/>
    </row>
    <row r="1266" spans="1:4" x14ac:dyDescent="0.2">
      <c r="A1266" s="1164"/>
      <c r="B1266" s="1164"/>
      <c r="D1266" s="1224"/>
    </row>
    <row r="1267" spans="1:4" x14ac:dyDescent="0.2">
      <c r="A1267" s="1164"/>
      <c r="B1267" s="1164"/>
      <c r="D1267" s="1224"/>
    </row>
    <row r="1268" spans="1:4" x14ac:dyDescent="0.2">
      <c r="A1268" s="1164"/>
      <c r="B1268" s="1164"/>
      <c r="D1268" s="1224"/>
    </row>
    <row r="1269" spans="1:4" x14ac:dyDescent="0.2">
      <c r="A1269" s="1164"/>
      <c r="B1269" s="1164"/>
      <c r="D1269" s="1224"/>
    </row>
    <row r="1270" spans="1:4" x14ac:dyDescent="0.2">
      <c r="A1270" s="1164"/>
      <c r="B1270" s="1164"/>
      <c r="D1270" s="1224"/>
    </row>
    <row r="1271" spans="1:4" x14ac:dyDescent="0.2">
      <c r="A1271" s="1164"/>
      <c r="B1271" s="1164"/>
      <c r="D1271" s="1224"/>
    </row>
    <row r="1272" spans="1:4" x14ac:dyDescent="0.2">
      <c r="A1272" s="1164"/>
      <c r="B1272" s="1164"/>
      <c r="D1272" s="1224"/>
    </row>
    <row r="1273" spans="1:4" x14ac:dyDescent="0.2">
      <c r="A1273" s="1164"/>
      <c r="B1273" s="1164"/>
      <c r="D1273" s="1224"/>
    </row>
    <row r="1274" spans="1:4" x14ac:dyDescent="0.2">
      <c r="A1274" s="1164"/>
      <c r="B1274" s="1164"/>
      <c r="D1274" s="1224"/>
    </row>
    <row r="1275" spans="1:4" x14ac:dyDescent="0.2">
      <c r="A1275" s="1164"/>
      <c r="B1275" s="1164"/>
      <c r="D1275" s="1224"/>
    </row>
    <row r="1276" spans="1:4" x14ac:dyDescent="0.2">
      <c r="A1276" s="1164"/>
      <c r="B1276" s="1164"/>
      <c r="D1276" s="1224"/>
    </row>
    <row r="1277" spans="1:4" x14ac:dyDescent="0.2">
      <c r="A1277" s="1164"/>
      <c r="B1277" s="1164"/>
      <c r="D1277" s="1224"/>
    </row>
    <row r="1278" spans="1:4" x14ac:dyDescent="0.2">
      <c r="A1278" s="1164"/>
      <c r="B1278" s="1164"/>
      <c r="D1278" s="1224"/>
    </row>
    <row r="1279" spans="1:4" x14ac:dyDescent="0.2">
      <c r="A1279" s="1164"/>
      <c r="B1279" s="1164"/>
      <c r="D1279" s="1224"/>
    </row>
    <row r="1280" spans="1:4" x14ac:dyDescent="0.2">
      <c r="A1280" s="1164"/>
      <c r="B1280" s="1164"/>
      <c r="D1280" s="1224"/>
    </row>
    <row r="1281" spans="1:4" x14ac:dyDescent="0.2">
      <c r="A1281" s="1164"/>
      <c r="B1281" s="1164"/>
      <c r="D1281" s="1224"/>
    </row>
    <row r="1282" spans="1:4" x14ac:dyDescent="0.2">
      <c r="A1282" s="1164"/>
      <c r="B1282" s="1164"/>
      <c r="D1282" s="1224"/>
    </row>
    <row r="1283" spans="1:4" x14ac:dyDescent="0.2">
      <c r="A1283" s="1164"/>
      <c r="B1283" s="1164"/>
      <c r="D1283" s="1224"/>
    </row>
    <row r="1284" spans="1:4" x14ac:dyDescent="0.2">
      <c r="A1284" s="1164"/>
      <c r="B1284" s="1164"/>
      <c r="D1284" s="1224"/>
    </row>
    <row r="1285" spans="1:4" x14ac:dyDescent="0.2">
      <c r="A1285" s="1164"/>
      <c r="B1285" s="1164"/>
      <c r="D1285" s="1224"/>
    </row>
    <row r="1286" spans="1:4" x14ac:dyDescent="0.2">
      <c r="A1286" s="1164"/>
      <c r="B1286" s="1164"/>
      <c r="D1286" s="1224"/>
    </row>
    <row r="1287" spans="1:4" x14ac:dyDescent="0.2">
      <c r="A1287" s="1164"/>
      <c r="B1287" s="1164"/>
      <c r="D1287" s="1224"/>
    </row>
    <row r="1288" spans="1:4" x14ac:dyDescent="0.2">
      <c r="A1288" s="1164"/>
      <c r="B1288" s="1164"/>
      <c r="D1288" s="1224"/>
    </row>
    <row r="1289" spans="1:4" x14ac:dyDescent="0.2">
      <c r="A1289" s="1164"/>
      <c r="B1289" s="1164"/>
      <c r="D1289" s="1224"/>
    </row>
    <row r="1290" spans="1:4" x14ac:dyDescent="0.2">
      <c r="A1290" s="1164"/>
      <c r="B1290" s="1164"/>
      <c r="D1290" s="1224"/>
    </row>
    <row r="1291" spans="1:4" x14ac:dyDescent="0.2">
      <c r="A1291" s="1164"/>
      <c r="B1291" s="1164"/>
      <c r="D1291" s="1224"/>
    </row>
    <row r="1292" spans="1:4" x14ac:dyDescent="0.2">
      <c r="A1292" s="1164"/>
      <c r="B1292" s="1164"/>
      <c r="D1292" s="1224"/>
    </row>
    <row r="1293" spans="1:4" x14ac:dyDescent="0.2">
      <c r="A1293" s="1164"/>
      <c r="B1293" s="1164"/>
      <c r="D1293" s="1224"/>
    </row>
    <row r="1294" spans="1:4" x14ac:dyDescent="0.2">
      <c r="A1294" s="1164"/>
      <c r="B1294" s="1164"/>
      <c r="D1294" s="1224"/>
    </row>
    <row r="1295" spans="1:4" x14ac:dyDescent="0.2">
      <c r="A1295" s="1164"/>
      <c r="B1295" s="1164"/>
      <c r="D1295" s="1224"/>
    </row>
    <row r="1296" spans="1:4" x14ac:dyDescent="0.2">
      <c r="A1296" s="1164"/>
      <c r="B1296" s="1164"/>
      <c r="D1296" s="1224"/>
    </row>
    <row r="1297" spans="1:4" x14ac:dyDescent="0.2">
      <c r="A1297" s="1164"/>
      <c r="B1297" s="1164"/>
      <c r="D1297" s="1224"/>
    </row>
    <row r="1298" spans="1:4" x14ac:dyDescent="0.2">
      <c r="A1298" s="1164"/>
      <c r="B1298" s="1164"/>
      <c r="D1298" s="1224"/>
    </row>
    <row r="1299" spans="1:4" x14ac:dyDescent="0.2">
      <c r="A1299" s="1164"/>
      <c r="B1299" s="1164"/>
      <c r="D1299" s="1224"/>
    </row>
    <row r="1300" spans="1:4" x14ac:dyDescent="0.2">
      <c r="A1300" s="1164"/>
      <c r="B1300" s="1164"/>
      <c r="D1300" s="1224"/>
    </row>
    <row r="1301" spans="1:4" x14ac:dyDescent="0.2">
      <c r="A1301" s="1164"/>
      <c r="B1301" s="1164"/>
      <c r="D1301" s="1224"/>
    </row>
    <row r="1302" spans="1:4" x14ac:dyDescent="0.2">
      <c r="A1302" s="1164"/>
      <c r="B1302" s="1164"/>
      <c r="D1302" s="1224"/>
    </row>
    <row r="1303" spans="1:4" x14ac:dyDescent="0.2">
      <c r="A1303" s="1164"/>
      <c r="B1303" s="1164"/>
      <c r="D1303" s="1224"/>
    </row>
    <row r="1304" spans="1:4" x14ac:dyDescent="0.2">
      <c r="A1304" s="1164"/>
      <c r="B1304" s="1164"/>
      <c r="D1304" s="1224"/>
    </row>
    <row r="1305" spans="1:4" x14ac:dyDescent="0.2">
      <c r="A1305" s="1164"/>
      <c r="B1305" s="1164"/>
      <c r="D1305" s="1224"/>
    </row>
    <row r="1306" spans="1:4" x14ac:dyDescent="0.2">
      <c r="A1306" s="1164"/>
      <c r="B1306" s="1164"/>
      <c r="D1306" s="1224"/>
    </row>
    <row r="1307" spans="1:4" x14ac:dyDescent="0.2">
      <c r="A1307" s="1164"/>
      <c r="B1307" s="1164"/>
      <c r="D1307" s="1224"/>
    </row>
    <row r="1308" spans="1:4" x14ac:dyDescent="0.2">
      <c r="A1308" s="1164"/>
      <c r="B1308" s="1164"/>
      <c r="D1308" s="1224"/>
    </row>
    <row r="1309" spans="1:4" x14ac:dyDescent="0.2">
      <c r="A1309" s="1164"/>
      <c r="B1309" s="1164"/>
      <c r="D1309" s="1224"/>
    </row>
    <row r="1310" spans="1:4" x14ac:dyDescent="0.2">
      <c r="A1310" s="1164"/>
      <c r="B1310" s="1164"/>
      <c r="D1310" s="1224"/>
    </row>
    <row r="1311" spans="1:4" x14ac:dyDescent="0.2">
      <c r="A1311" s="1164"/>
      <c r="B1311" s="1164"/>
      <c r="D1311" s="1224"/>
    </row>
    <row r="1312" spans="1:4" x14ac:dyDescent="0.2">
      <c r="A1312" s="1164"/>
      <c r="B1312" s="1164"/>
      <c r="D1312" s="1224"/>
    </row>
    <row r="1313" spans="1:4" x14ac:dyDescent="0.2">
      <c r="A1313" s="1164"/>
      <c r="B1313" s="1164"/>
      <c r="D1313" s="1224"/>
    </row>
    <row r="1314" spans="1:4" x14ac:dyDescent="0.2">
      <c r="A1314" s="1164"/>
      <c r="B1314" s="1164"/>
      <c r="D1314" s="1224"/>
    </row>
    <row r="1315" spans="1:4" x14ac:dyDescent="0.2">
      <c r="A1315" s="1164"/>
      <c r="B1315" s="1164"/>
      <c r="D1315" s="1224"/>
    </row>
    <row r="1316" spans="1:4" x14ac:dyDescent="0.2">
      <c r="A1316" s="1164"/>
      <c r="B1316" s="1164"/>
      <c r="D1316" s="1224"/>
    </row>
    <row r="1317" spans="1:4" x14ac:dyDescent="0.2">
      <c r="A1317" s="1164"/>
      <c r="B1317" s="1164"/>
      <c r="D1317" s="1224"/>
    </row>
    <row r="1318" spans="1:4" x14ac:dyDescent="0.2">
      <c r="A1318" s="1164"/>
      <c r="B1318" s="1164"/>
      <c r="D1318" s="1224"/>
    </row>
    <row r="1319" spans="1:4" x14ac:dyDescent="0.2">
      <c r="A1319" s="1164"/>
      <c r="B1319" s="1164"/>
      <c r="D1319" s="1224"/>
    </row>
    <row r="1320" spans="1:4" x14ac:dyDescent="0.2">
      <c r="A1320" s="1164"/>
      <c r="B1320" s="1164"/>
      <c r="D1320" s="1224"/>
    </row>
    <row r="1321" spans="1:4" x14ac:dyDescent="0.2">
      <c r="A1321" s="1164"/>
      <c r="B1321" s="1164"/>
      <c r="D1321" s="1224"/>
    </row>
    <row r="1322" spans="1:4" x14ac:dyDescent="0.2">
      <c r="A1322" s="1164"/>
      <c r="B1322" s="1164"/>
      <c r="D1322" s="1224"/>
    </row>
    <row r="1323" spans="1:4" x14ac:dyDescent="0.2">
      <c r="A1323" s="1164"/>
      <c r="B1323" s="1164"/>
      <c r="D1323" s="1224"/>
    </row>
    <row r="1324" spans="1:4" x14ac:dyDescent="0.2">
      <c r="A1324" s="1164"/>
      <c r="B1324" s="1164"/>
      <c r="D1324" s="1224"/>
    </row>
    <row r="1325" spans="1:4" x14ac:dyDescent="0.2">
      <c r="A1325" s="1164"/>
      <c r="B1325" s="1164"/>
      <c r="D1325" s="1224"/>
    </row>
    <row r="1326" spans="1:4" x14ac:dyDescent="0.2">
      <c r="A1326" s="1164"/>
      <c r="B1326" s="1164"/>
      <c r="D1326" s="1224"/>
    </row>
    <row r="1327" spans="1:4" x14ac:dyDescent="0.2">
      <c r="A1327" s="1164"/>
      <c r="B1327" s="1164"/>
      <c r="D1327" s="1224"/>
    </row>
    <row r="1328" spans="1:4" x14ac:dyDescent="0.2">
      <c r="A1328" s="1164"/>
      <c r="B1328" s="1164"/>
      <c r="D1328" s="1224"/>
    </row>
    <row r="1329" spans="1:4" x14ac:dyDescent="0.2">
      <c r="A1329" s="1164"/>
      <c r="B1329" s="1164"/>
      <c r="D1329" s="1224"/>
    </row>
    <row r="1330" spans="1:4" x14ac:dyDescent="0.2">
      <c r="A1330" s="1164"/>
      <c r="B1330" s="1164"/>
      <c r="D1330" s="1224"/>
    </row>
    <row r="1331" spans="1:4" x14ac:dyDescent="0.2">
      <c r="A1331" s="1164"/>
      <c r="B1331" s="1164"/>
      <c r="D1331" s="1224"/>
    </row>
    <row r="1332" spans="1:4" x14ac:dyDescent="0.2">
      <c r="A1332" s="1164"/>
      <c r="B1332" s="1164"/>
      <c r="D1332" s="1224"/>
    </row>
    <row r="1333" spans="1:4" x14ac:dyDescent="0.2">
      <c r="A1333" s="1164"/>
      <c r="B1333" s="1164"/>
      <c r="D1333" s="1224"/>
    </row>
    <row r="1334" spans="1:4" x14ac:dyDescent="0.2">
      <c r="A1334" s="1164"/>
      <c r="B1334" s="1164"/>
      <c r="D1334" s="1224"/>
    </row>
    <row r="1335" spans="1:4" x14ac:dyDescent="0.2">
      <c r="A1335" s="1164"/>
      <c r="B1335" s="1164"/>
      <c r="D1335" s="1224"/>
    </row>
    <row r="1336" spans="1:4" x14ac:dyDescent="0.2">
      <c r="A1336" s="1164"/>
      <c r="B1336" s="1164"/>
      <c r="D1336" s="1224"/>
    </row>
    <row r="1337" spans="1:4" x14ac:dyDescent="0.2">
      <c r="A1337" s="1164"/>
      <c r="B1337" s="1164"/>
      <c r="D1337" s="1224"/>
    </row>
    <row r="1338" spans="1:4" x14ac:dyDescent="0.2">
      <c r="A1338" s="1164"/>
      <c r="B1338" s="1164"/>
      <c r="D1338" s="1224"/>
    </row>
    <row r="1339" spans="1:4" x14ac:dyDescent="0.2">
      <c r="A1339" s="1164"/>
      <c r="B1339" s="1164"/>
      <c r="D1339" s="1224"/>
    </row>
    <row r="1340" spans="1:4" x14ac:dyDescent="0.2">
      <c r="A1340" s="1164"/>
      <c r="B1340" s="1164"/>
      <c r="D1340" s="1224"/>
    </row>
    <row r="1341" spans="1:4" x14ac:dyDescent="0.2">
      <c r="A1341" s="1164"/>
      <c r="B1341" s="1164"/>
      <c r="D1341" s="1224"/>
    </row>
    <row r="1342" spans="1:4" x14ac:dyDescent="0.2">
      <c r="A1342" s="1164"/>
      <c r="B1342" s="1164"/>
      <c r="D1342" s="1224"/>
    </row>
    <row r="1343" spans="1:4" x14ac:dyDescent="0.2">
      <c r="A1343" s="1164"/>
      <c r="B1343" s="1164"/>
      <c r="D1343" s="1224"/>
    </row>
    <row r="1344" spans="1:4" x14ac:dyDescent="0.2">
      <c r="A1344" s="1164"/>
      <c r="B1344" s="1164"/>
      <c r="D1344" s="1224"/>
    </row>
    <row r="1345" spans="1:4" x14ac:dyDescent="0.2">
      <c r="A1345" s="1164"/>
      <c r="B1345" s="1164"/>
      <c r="D1345" s="1224"/>
    </row>
    <row r="1346" spans="1:4" x14ac:dyDescent="0.2">
      <c r="A1346" s="1164"/>
      <c r="B1346" s="1164"/>
      <c r="D1346" s="1224"/>
    </row>
    <row r="1347" spans="1:4" x14ac:dyDescent="0.2">
      <c r="A1347" s="1164"/>
      <c r="B1347" s="1164"/>
      <c r="D1347" s="1224"/>
    </row>
    <row r="1348" spans="1:4" x14ac:dyDescent="0.2">
      <c r="A1348" s="1164"/>
      <c r="B1348" s="1164"/>
      <c r="D1348" s="1224"/>
    </row>
    <row r="1349" spans="1:4" x14ac:dyDescent="0.2">
      <c r="A1349" s="1164"/>
      <c r="B1349" s="1164"/>
      <c r="D1349" s="1224"/>
    </row>
    <row r="1350" spans="1:4" x14ac:dyDescent="0.2">
      <c r="A1350" s="1164"/>
      <c r="B1350" s="1164"/>
      <c r="D1350" s="1224"/>
    </row>
    <row r="1351" spans="1:4" x14ac:dyDescent="0.2">
      <c r="A1351" s="1164"/>
      <c r="B1351" s="1164"/>
      <c r="D1351" s="1224"/>
    </row>
    <row r="1352" spans="1:4" x14ac:dyDescent="0.2">
      <c r="A1352" s="1164"/>
      <c r="B1352" s="1164"/>
      <c r="D1352" s="1224"/>
    </row>
    <row r="1353" spans="1:4" x14ac:dyDescent="0.2">
      <c r="A1353" s="1164"/>
      <c r="B1353" s="1164"/>
      <c r="D1353" s="1224"/>
    </row>
    <row r="1354" spans="1:4" x14ac:dyDescent="0.2">
      <c r="A1354" s="1164"/>
      <c r="B1354" s="1164"/>
      <c r="D1354" s="1224"/>
    </row>
    <row r="1355" spans="1:4" x14ac:dyDescent="0.2">
      <c r="A1355" s="1164"/>
      <c r="B1355" s="1164"/>
      <c r="D1355" s="1224"/>
    </row>
    <row r="1356" spans="1:4" x14ac:dyDescent="0.2">
      <c r="A1356" s="1164"/>
      <c r="B1356" s="1164"/>
      <c r="D1356" s="1224"/>
    </row>
    <row r="1357" spans="1:4" x14ac:dyDescent="0.2">
      <c r="A1357" s="1164"/>
      <c r="B1357" s="1164"/>
      <c r="D1357" s="1224"/>
    </row>
    <row r="1358" spans="1:4" x14ac:dyDescent="0.2">
      <c r="A1358" s="1164"/>
      <c r="B1358" s="1164"/>
      <c r="D1358" s="1224"/>
    </row>
    <row r="1359" spans="1:4" x14ac:dyDescent="0.2">
      <c r="A1359" s="1164"/>
      <c r="B1359" s="1164"/>
      <c r="D1359" s="1224"/>
    </row>
    <row r="1360" spans="1:4" x14ac:dyDescent="0.2">
      <c r="A1360" s="1164"/>
      <c r="B1360" s="1164"/>
      <c r="D1360" s="1224"/>
    </row>
    <row r="1361" spans="1:4" x14ac:dyDescent="0.2">
      <c r="A1361" s="1164"/>
      <c r="B1361" s="1164"/>
      <c r="D1361" s="1224"/>
    </row>
    <row r="1362" spans="1:4" x14ac:dyDescent="0.2">
      <c r="A1362" s="1164"/>
      <c r="B1362" s="1164"/>
      <c r="D1362" s="1224"/>
    </row>
    <row r="1363" spans="1:4" x14ac:dyDescent="0.2">
      <c r="A1363" s="1164"/>
      <c r="B1363" s="1164"/>
      <c r="D1363" s="1224"/>
    </row>
    <row r="1364" spans="1:4" x14ac:dyDescent="0.2">
      <c r="A1364" s="1164"/>
      <c r="B1364" s="1164"/>
      <c r="D1364" s="1224"/>
    </row>
    <row r="1365" spans="1:4" x14ac:dyDescent="0.2">
      <c r="A1365" s="1164"/>
      <c r="B1365" s="1164"/>
      <c r="D1365" s="1224"/>
    </row>
    <row r="1366" spans="1:4" x14ac:dyDescent="0.2">
      <c r="A1366" s="1164"/>
      <c r="B1366" s="1164"/>
      <c r="D1366" s="1224"/>
    </row>
    <row r="1367" spans="1:4" x14ac:dyDescent="0.2">
      <c r="A1367" s="1164"/>
      <c r="B1367" s="1164"/>
      <c r="D1367" s="1224"/>
    </row>
    <row r="1368" spans="1:4" x14ac:dyDescent="0.2">
      <c r="A1368" s="1164"/>
      <c r="B1368" s="1164"/>
      <c r="D1368" s="1224"/>
    </row>
    <row r="1369" spans="1:4" x14ac:dyDescent="0.2">
      <c r="A1369" s="1164"/>
      <c r="B1369" s="1164"/>
      <c r="D1369" s="1224"/>
    </row>
    <row r="1370" spans="1:4" x14ac:dyDescent="0.2">
      <c r="A1370" s="1164"/>
      <c r="B1370" s="1164"/>
      <c r="D1370" s="1224"/>
    </row>
    <row r="1371" spans="1:4" x14ac:dyDescent="0.2">
      <c r="A1371" s="1164"/>
      <c r="B1371" s="1164"/>
      <c r="D1371" s="1224"/>
    </row>
    <row r="1372" spans="1:4" x14ac:dyDescent="0.2">
      <c r="A1372" s="1164"/>
      <c r="B1372" s="1164"/>
      <c r="D1372" s="1224"/>
    </row>
    <row r="1373" spans="1:4" x14ac:dyDescent="0.2">
      <c r="A1373" s="1164"/>
      <c r="B1373" s="1164"/>
      <c r="D1373" s="1224"/>
    </row>
    <row r="1374" spans="1:4" x14ac:dyDescent="0.2">
      <c r="A1374" s="1164"/>
      <c r="B1374" s="1164"/>
      <c r="D1374" s="1224"/>
    </row>
    <row r="1375" spans="1:4" x14ac:dyDescent="0.2">
      <c r="A1375" s="1164"/>
      <c r="B1375" s="1164"/>
      <c r="D1375" s="1224"/>
    </row>
    <row r="1376" spans="1:4" x14ac:dyDescent="0.2">
      <c r="A1376" s="1164"/>
      <c r="B1376" s="1164"/>
      <c r="D1376" s="1224"/>
    </row>
    <row r="1377" spans="1:4" x14ac:dyDescent="0.2">
      <c r="A1377" s="1164"/>
      <c r="B1377" s="1164"/>
      <c r="D1377" s="1224"/>
    </row>
    <row r="1378" spans="1:4" x14ac:dyDescent="0.2">
      <c r="A1378" s="1164"/>
      <c r="B1378" s="1164"/>
      <c r="D1378" s="1224"/>
    </row>
    <row r="1379" spans="1:4" x14ac:dyDescent="0.2">
      <c r="A1379" s="1164"/>
      <c r="B1379" s="1164"/>
      <c r="D1379" s="1224"/>
    </row>
    <row r="1380" spans="1:4" x14ac:dyDescent="0.2">
      <c r="A1380" s="1164"/>
      <c r="B1380" s="1164"/>
      <c r="D1380" s="1224"/>
    </row>
    <row r="1381" spans="1:4" x14ac:dyDescent="0.2">
      <c r="A1381" s="1164"/>
      <c r="B1381" s="1164"/>
      <c r="D1381" s="1224"/>
    </row>
    <row r="1382" spans="1:4" x14ac:dyDescent="0.2">
      <c r="A1382" s="1164"/>
      <c r="B1382" s="1164"/>
      <c r="D1382" s="1224"/>
    </row>
    <row r="1383" spans="1:4" x14ac:dyDescent="0.2">
      <c r="A1383" s="1164"/>
      <c r="B1383" s="1164"/>
      <c r="D1383" s="1224"/>
    </row>
    <row r="1384" spans="1:4" x14ac:dyDescent="0.2">
      <c r="A1384" s="1164"/>
      <c r="B1384" s="1164"/>
      <c r="D1384" s="1224"/>
    </row>
    <row r="1385" spans="1:4" x14ac:dyDescent="0.2">
      <c r="A1385" s="1164"/>
      <c r="B1385" s="1164"/>
      <c r="D1385" s="1224"/>
    </row>
    <row r="1386" spans="1:4" x14ac:dyDescent="0.2">
      <c r="A1386" s="1164"/>
      <c r="B1386" s="1164"/>
      <c r="D1386" s="1224"/>
    </row>
    <row r="1387" spans="1:4" x14ac:dyDescent="0.2">
      <c r="A1387" s="1164"/>
      <c r="B1387" s="1164"/>
      <c r="D1387" s="1224"/>
    </row>
    <row r="1388" spans="1:4" x14ac:dyDescent="0.2">
      <c r="A1388" s="1164"/>
      <c r="B1388" s="1164"/>
      <c r="D1388" s="1224"/>
    </row>
    <row r="1389" spans="1:4" x14ac:dyDescent="0.2">
      <c r="A1389" s="1164"/>
      <c r="B1389" s="1164"/>
      <c r="D1389" s="1224"/>
    </row>
    <row r="1390" spans="1:4" x14ac:dyDescent="0.2">
      <c r="A1390" s="1164"/>
      <c r="B1390" s="1164"/>
      <c r="D1390" s="1224"/>
    </row>
    <row r="1391" spans="1:4" x14ac:dyDescent="0.2">
      <c r="A1391" s="1164"/>
      <c r="B1391" s="1164"/>
      <c r="D1391" s="1224"/>
    </row>
    <row r="1392" spans="1:4" x14ac:dyDescent="0.2">
      <c r="A1392" s="1164"/>
      <c r="B1392" s="1164"/>
      <c r="D1392" s="1224"/>
    </row>
    <row r="1393" spans="1:4" x14ac:dyDescent="0.2">
      <c r="A1393" s="1164"/>
      <c r="B1393" s="1164"/>
      <c r="D1393" s="1224"/>
    </row>
    <row r="1394" spans="1:4" x14ac:dyDescent="0.2">
      <c r="A1394" s="1164"/>
      <c r="B1394" s="1164"/>
      <c r="D1394" s="1224"/>
    </row>
    <row r="1395" spans="1:4" x14ac:dyDescent="0.2">
      <c r="A1395" s="1164"/>
      <c r="B1395" s="1164"/>
      <c r="D1395" s="1224"/>
    </row>
    <row r="1396" spans="1:4" x14ac:dyDescent="0.2">
      <c r="A1396" s="1164"/>
      <c r="B1396" s="1164"/>
      <c r="D1396" s="1224"/>
    </row>
    <row r="1397" spans="1:4" x14ac:dyDescent="0.2">
      <c r="A1397" s="1164"/>
      <c r="B1397" s="1164"/>
      <c r="D1397" s="1224"/>
    </row>
    <row r="1398" spans="1:4" x14ac:dyDescent="0.2">
      <c r="A1398" s="1164"/>
      <c r="B1398" s="1164"/>
      <c r="D1398" s="1224"/>
    </row>
    <row r="1399" spans="1:4" x14ac:dyDescent="0.2">
      <c r="A1399" s="1164"/>
      <c r="B1399" s="1164"/>
      <c r="D1399" s="1224"/>
    </row>
    <row r="1400" spans="1:4" x14ac:dyDescent="0.2">
      <c r="A1400" s="1164"/>
      <c r="B1400" s="1164"/>
      <c r="D1400" s="1224"/>
    </row>
    <row r="1401" spans="1:4" x14ac:dyDescent="0.2">
      <c r="A1401" s="1164"/>
      <c r="B1401" s="1164"/>
      <c r="D1401" s="1224"/>
    </row>
    <row r="1402" spans="1:4" x14ac:dyDescent="0.2">
      <c r="A1402" s="1164"/>
      <c r="B1402" s="1164"/>
      <c r="D1402" s="1224"/>
    </row>
    <row r="1403" spans="1:4" x14ac:dyDescent="0.2">
      <c r="A1403" s="1164"/>
      <c r="B1403" s="1164"/>
      <c r="D1403" s="1224"/>
    </row>
    <row r="1404" spans="1:4" x14ac:dyDescent="0.2">
      <c r="A1404" s="1164"/>
      <c r="B1404" s="1164"/>
      <c r="D1404" s="1224"/>
    </row>
    <row r="1405" spans="1:4" x14ac:dyDescent="0.2">
      <c r="A1405" s="1164"/>
      <c r="B1405" s="1164"/>
      <c r="D1405" s="1224"/>
    </row>
    <row r="1406" spans="1:4" x14ac:dyDescent="0.2">
      <c r="A1406" s="1164"/>
      <c r="B1406" s="1164"/>
      <c r="D1406" s="1224"/>
    </row>
    <row r="1407" spans="1:4" x14ac:dyDescent="0.2">
      <c r="A1407" s="1164"/>
      <c r="B1407" s="1164"/>
      <c r="D1407" s="1224"/>
    </row>
    <row r="1408" spans="1:4" x14ac:dyDescent="0.2">
      <c r="A1408" s="1164"/>
      <c r="B1408" s="1164"/>
      <c r="D1408" s="1224"/>
    </row>
    <row r="1409" spans="1:4" x14ac:dyDescent="0.2">
      <c r="A1409" s="1164"/>
      <c r="B1409" s="1164"/>
      <c r="D1409" s="1224"/>
    </row>
    <row r="1410" spans="1:4" x14ac:dyDescent="0.2">
      <c r="A1410" s="1164"/>
      <c r="B1410" s="1164"/>
      <c r="D1410" s="1224"/>
    </row>
    <row r="1411" spans="1:4" x14ac:dyDescent="0.2">
      <c r="A1411" s="1164"/>
      <c r="B1411" s="1164"/>
      <c r="D1411" s="1224"/>
    </row>
    <row r="1412" spans="1:4" x14ac:dyDescent="0.2">
      <c r="A1412" s="1164"/>
      <c r="B1412" s="1164"/>
      <c r="D1412" s="1224"/>
    </row>
    <row r="1413" spans="1:4" x14ac:dyDescent="0.2">
      <c r="A1413" s="1164"/>
      <c r="B1413" s="1164"/>
      <c r="D1413" s="1224"/>
    </row>
    <row r="1414" spans="1:4" x14ac:dyDescent="0.2">
      <c r="A1414" s="1164"/>
      <c r="B1414" s="1164"/>
      <c r="D1414" s="1224"/>
    </row>
    <row r="1415" spans="1:4" x14ac:dyDescent="0.2">
      <c r="A1415" s="1164"/>
      <c r="B1415" s="1164"/>
      <c r="D1415" s="1224"/>
    </row>
    <row r="1416" spans="1:4" x14ac:dyDescent="0.2">
      <c r="A1416" s="1164"/>
      <c r="B1416" s="1164"/>
      <c r="D1416" s="1224"/>
    </row>
    <row r="1417" spans="1:4" x14ac:dyDescent="0.2">
      <c r="A1417" s="1164"/>
      <c r="B1417" s="1164"/>
      <c r="D1417" s="1224"/>
    </row>
    <row r="1418" spans="1:4" x14ac:dyDescent="0.2">
      <c r="A1418" s="1164"/>
      <c r="B1418" s="1164"/>
      <c r="D1418" s="1224"/>
    </row>
    <row r="1419" spans="1:4" x14ac:dyDescent="0.2">
      <c r="A1419" s="1164"/>
      <c r="B1419" s="1164"/>
      <c r="D1419" s="1224"/>
    </row>
    <row r="1420" spans="1:4" x14ac:dyDescent="0.2">
      <c r="A1420" s="1164"/>
      <c r="B1420" s="1164"/>
      <c r="D1420" s="1224"/>
    </row>
    <row r="1421" spans="1:4" x14ac:dyDescent="0.2">
      <c r="A1421" s="1164"/>
      <c r="B1421" s="1164"/>
      <c r="D1421" s="1224"/>
    </row>
    <row r="1422" spans="1:4" x14ac:dyDescent="0.2">
      <c r="A1422" s="1164"/>
      <c r="B1422" s="1164"/>
      <c r="D1422" s="1224"/>
    </row>
    <row r="1423" spans="1:4" x14ac:dyDescent="0.2">
      <c r="A1423" s="1164"/>
      <c r="B1423" s="1164"/>
      <c r="D1423" s="1224"/>
    </row>
    <row r="1424" spans="1:4" x14ac:dyDescent="0.2">
      <c r="A1424" s="1164"/>
      <c r="B1424" s="1164"/>
      <c r="D1424" s="1224"/>
    </row>
    <row r="1425" spans="1:4" x14ac:dyDescent="0.2">
      <c r="A1425" s="1164"/>
      <c r="B1425" s="1164"/>
      <c r="D1425" s="1224"/>
    </row>
    <row r="1426" spans="1:4" x14ac:dyDescent="0.2">
      <c r="A1426" s="1164"/>
      <c r="B1426" s="1164"/>
      <c r="D1426" s="1224"/>
    </row>
    <row r="1427" spans="1:4" x14ac:dyDescent="0.2">
      <c r="A1427" s="1164"/>
      <c r="B1427" s="1164"/>
      <c r="D1427" s="1224"/>
    </row>
    <row r="1428" spans="1:4" x14ac:dyDescent="0.2">
      <c r="A1428" s="1164"/>
      <c r="B1428" s="1164"/>
      <c r="D1428" s="1224"/>
    </row>
    <row r="1429" spans="1:4" x14ac:dyDescent="0.2">
      <c r="A1429" s="1164"/>
      <c r="B1429" s="1164"/>
      <c r="D1429" s="1224"/>
    </row>
    <row r="1430" spans="1:4" x14ac:dyDescent="0.2">
      <c r="A1430" s="1164"/>
      <c r="B1430" s="1164"/>
      <c r="D1430" s="1224"/>
    </row>
    <row r="1431" spans="1:4" x14ac:dyDescent="0.2">
      <c r="A1431" s="1164"/>
      <c r="B1431" s="1164"/>
      <c r="D1431" s="1224"/>
    </row>
    <row r="1432" spans="1:4" x14ac:dyDescent="0.2">
      <c r="A1432" s="1164"/>
      <c r="B1432" s="1164"/>
      <c r="D1432" s="1224"/>
    </row>
    <row r="1433" spans="1:4" x14ac:dyDescent="0.2">
      <c r="A1433" s="1164"/>
      <c r="B1433" s="1164"/>
      <c r="D1433" s="1224"/>
    </row>
    <row r="1434" spans="1:4" x14ac:dyDescent="0.2">
      <c r="A1434" s="1164"/>
      <c r="B1434" s="1164"/>
      <c r="D1434" s="1224"/>
    </row>
    <row r="1435" spans="1:4" x14ac:dyDescent="0.2">
      <c r="A1435" s="1164"/>
      <c r="B1435" s="1164"/>
      <c r="D1435" s="1224"/>
    </row>
    <row r="1436" spans="1:4" x14ac:dyDescent="0.2">
      <c r="A1436" s="1164"/>
      <c r="B1436" s="1164"/>
      <c r="D1436" s="1224"/>
    </row>
    <row r="1437" spans="1:4" x14ac:dyDescent="0.2">
      <c r="A1437" s="1164"/>
      <c r="B1437" s="1164"/>
      <c r="D1437" s="1224"/>
    </row>
    <row r="1438" spans="1:4" x14ac:dyDescent="0.2">
      <c r="A1438" s="1164"/>
      <c r="B1438" s="1164"/>
      <c r="D1438" s="1224"/>
    </row>
    <row r="1439" spans="1:4" x14ac:dyDescent="0.2">
      <c r="A1439" s="1164"/>
      <c r="B1439" s="1164"/>
      <c r="D1439" s="1224"/>
    </row>
    <row r="1440" spans="1:4" x14ac:dyDescent="0.2">
      <c r="A1440" s="1164"/>
      <c r="B1440" s="1164"/>
      <c r="D1440" s="1224"/>
    </row>
    <row r="1441" spans="1:4" x14ac:dyDescent="0.2">
      <c r="A1441" s="1164"/>
      <c r="B1441" s="1164"/>
      <c r="D1441" s="1224"/>
    </row>
    <row r="1442" spans="1:4" x14ac:dyDescent="0.2">
      <c r="A1442" s="1164"/>
      <c r="B1442" s="1164"/>
      <c r="D1442" s="1224"/>
    </row>
    <row r="1443" spans="1:4" x14ac:dyDescent="0.2">
      <c r="A1443" s="1164"/>
      <c r="B1443" s="1164"/>
      <c r="D1443" s="1224"/>
    </row>
    <row r="1444" spans="1:4" x14ac:dyDescent="0.2">
      <c r="A1444" s="1164"/>
      <c r="B1444" s="1164"/>
      <c r="D1444" s="1224"/>
    </row>
    <row r="1445" spans="1:4" x14ac:dyDescent="0.2">
      <c r="A1445" s="1164"/>
      <c r="B1445" s="1164"/>
      <c r="D1445" s="1224"/>
    </row>
    <row r="1446" spans="1:4" x14ac:dyDescent="0.2">
      <c r="A1446" s="1164"/>
      <c r="B1446" s="1164"/>
      <c r="D1446" s="1224"/>
    </row>
    <row r="1447" spans="1:4" x14ac:dyDescent="0.2">
      <c r="A1447" s="1164"/>
      <c r="B1447" s="1164"/>
      <c r="D1447" s="1224"/>
    </row>
    <row r="1448" spans="1:4" x14ac:dyDescent="0.2">
      <c r="A1448" s="1164"/>
      <c r="B1448" s="1164"/>
      <c r="D1448" s="1224"/>
    </row>
    <row r="1449" spans="1:4" x14ac:dyDescent="0.2">
      <c r="A1449" s="1164"/>
      <c r="B1449" s="1164"/>
      <c r="D1449" s="1224"/>
    </row>
    <row r="1450" spans="1:4" x14ac:dyDescent="0.2">
      <c r="A1450" s="1164"/>
      <c r="B1450" s="1164"/>
      <c r="D1450" s="1224"/>
    </row>
    <row r="1451" spans="1:4" x14ac:dyDescent="0.2">
      <c r="A1451" s="1164"/>
      <c r="B1451" s="1164"/>
      <c r="D1451" s="1224"/>
    </row>
    <row r="1452" spans="1:4" x14ac:dyDescent="0.2">
      <c r="A1452" s="1164"/>
      <c r="B1452" s="1164"/>
      <c r="D1452" s="1224"/>
    </row>
    <row r="1453" spans="1:4" x14ac:dyDescent="0.2">
      <c r="A1453" s="1164"/>
      <c r="B1453" s="1164"/>
      <c r="D1453" s="1224"/>
    </row>
    <row r="1454" spans="1:4" x14ac:dyDescent="0.2">
      <c r="A1454" s="1164"/>
      <c r="B1454" s="1164"/>
      <c r="D1454" s="1224"/>
    </row>
    <row r="1455" spans="1:4" x14ac:dyDescent="0.2">
      <c r="A1455" s="1164"/>
      <c r="B1455" s="1164"/>
      <c r="D1455" s="1224"/>
    </row>
    <row r="1456" spans="1:4" x14ac:dyDescent="0.2">
      <c r="A1456" s="1164"/>
      <c r="B1456" s="1164"/>
      <c r="D1456" s="1224"/>
    </row>
    <row r="1457" spans="1:4" x14ac:dyDescent="0.2">
      <c r="A1457" s="1164"/>
      <c r="B1457" s="1164"/>
      <c r="D1457" s="1224"/>
    </row>
    <row r="1458" spans="1:4" x14ac:dyDescent="0.2">
      <c r="A1458" s="1164"/>
      <c r="B1458" s="1164"/>
      <c r="D1458" s="1224"/>
    </row>
    <row r="1459" spans="1:4" x14ac:dyDescent="0.2">
      <c r="A1459" s="1164"/>
      <c r="B1459" s="1164"/>
      <c r="D1459" s="1224"/>
    </row>
    <row r="1460" spans="1:4" x14ac:dyDescent="0.2">
      <c r="A1460" s="1164"/>
      <c r="B1460" s="1164"/>
      <c r="D1460" s="1224"/>
    </row>
    <row r="1461" spans="1:4" x14ac:dyDescent="0.2">
      <c r="A1461" s="1164"/>
      <c r="B1461" s="1164"/>
      <c r="D1461" s="1224"/>
    </row>
    <row r="1462" spans="1:4" x14ac:dyDescent="0.2">
      <c r="A1462" s="1164"/>
      <c r="B1462" s="1164"/>
      <c r="D1462" s="1224"/>
    </row>
    <row r="1463" spans="1:4" x14ac:dyDescent="0.2">
      <c r="A1463" s="1164"/>
      <c r="B1463" s="1164"/>
      <c r="D1463" s="1224"/>
    </row>
    <row r="1464" spans="1:4" x14ac:dyDescent="0.2">
      <c r="A1464" s="1164"/>
      <c r="B1464" s="1164"/>
      <c r="D1464" s="1224"/>
    </row>
    <row r="1465" spans="1:4" x14ac:dyDescent="0.2">
      <c r="A1465" s="1164"/>
      <c r="B1465" s="1164"/>
      <c r="D1465" s="1224"/>
    </row>
    <row r="1466" spans="1:4" x14ac:dyDescent="0.2">
      <c r="A1466" s="1164"/>
      <c r="B1466" s="1164"/>
      <c r="D1466" s="1224"/>
    </row>
    <row r="1467" spans="1:4" x14ac:dyDescent="0.2">
      <c r="A1467" s="1164"/>
      <c r="B1467" s="1164"/>
      <c r="D1467" s="1224"/>
    </row>
    <row r="1468" spans="1:4" x14ac:dyDescent="0.2">
      <c r="A1468" s="1164"/>
      <c r="B1468" s="1164"/>
      <c r="D1468" s="1224"/>
    </row>
    <row r="1469" spans="1:4" x14ac:dyDescent="0.2">
      <c r="A1469" s="1164"/>
      <c r="B1469" s="1164"/>
      <c r="D1469" s="1224"/>
    </row>
    <row r="1470" spans="1:4" x14ac:dyDescent="0.2">
      <c r="A1470" s="1164"/>
      <c r="B1470" s="1164"/>
      <c r="D1470" s="1224"/>
    </row>
    <row r="1471" spans="1:4" x14ac:dyDescent="0.2">
      <c r="A1471" s="1164"/>
      <c r="B1471" s="1164"/>
      <c r="D1471" s="1224"/>
    </row>
    <row r="1472" spans="1:4" x14ac:dyDescent="0.2">
      <c r="A1472" s="1164"/>
      <c r="B1472" s="1164"/>
      <c r="D1472" s="1224"/>
    </row>
    <row r="1473" spans="1:4" x14ac:dyDescent="0.2">
      <c r="A1473" s="1164"/>
      <c r="B1473" s="1164"/>
      <c r="D1473" s="1224"/>
    </row>
    <row r="1474" spans="1:4" x14ac:dyDescent="0.2">
      <c r="A1474" s="1164"/>
      <c r="B1474" s="1164"/>
      <c r="D1474" s="1224"/>
    </row>
    <row r="1475" spans="1:4" x14ac:dyDescent="0.2">
      <c r="A1475" s="1164"/>
      <c r="B1475" s="1164"/>
      <c r="D1475" s="1224"/>
    </row>
    <row r="1476" spans="1:4" x14ac:dyDescent="0.2">
      <c r="A1476" s="1164"/>
      <c r="B1476" s="1164"/>
      <c r="D1476" s="1224"/>
    </row>
    <row r="1477" spans="1:4" x14ac:dyDescent="0.2">
      <c r="A1477" s="1164"/>
      <c r="B1477" s="1164"/>
      <c r="D1477" s="1224"/>
    </row>
    <row r="1478" spans="1:4" x14ac:dyDescent="0.2">
      <c r="A1478" s="1164"/>
      <c r="B1478" s="1164"/>
      <c r="D1478" s="1224"/>
    </row>
    <row r="1479" spans="1:4" x14ac:dyDescent="0.2">
      <c r="A1479" s="1164"/>
      <c r="B1479" s="1164"/>
      <c r="D1479" s="1224"/>
    </row>
    <row r="1480" spans="1:4" x14ac:dyDescent="0.2">
      <c r="A1480" s="1164"/>
      <c r="B1480" s="1164"/>
      <c r="D1480" s="1224"/>
    </row>
    <row r="1481" spans="1:4" x14ac:dyDescent="0.2">
      <c r="A1481" s="1164"/>
      <c r="B1481" s="1164"/>
      <c r="D1481" s="1224"/>
    </row>
    <row r="1482" spans="1:4" x14ac:dyDescent="0.2">
      <c r="A1482" s="1164"/>
      <c r="B1482" s="1164"/>
      <c r="D1482" s="1224"/>
    </row>
    <row r="1483" spans="1:4" x14ac:dyDescent="0.2">
      <c r="A1483" s="1164"/>
      <c r="B1483" s="1164"/>
      <c r="D1483" s="1224"/>
    </row>
    <row r="1484" spans="1:4" x14ac:dyDescent="0.2">
      <c r="A1484" s="1164"/>
      <c r="B1484" s="1164"/>
      <c r="D1484" s="1224"/>
    </row>
    <row r="1485" spans="1:4" x14ac:dyDescent="0.2">
      <c r="A1485" s="1164"/>
      <c r="B1485" s="1164"/>
      <c r="D1485" s="1224"/>
    </row>
    <row r="1486" spans="1:4" x14ac:dyDescent="0.2">
      <c r="A1486" s="1164"/>
      <c r="B1486" s="1164"/>
      <c r="D1486" s="1224"/>
    </row>
    <row r="1487" spans="1:4" x14ac:dyDescent="0.2">
      <c r="A1487" s="1164"/>
      <c r="B1487" s="1164"/>
      <c r="D1487" s="1224"/>
    </row>
    <row r="1488" spans="1:4" x14ac:dyDescent="0.2">
      <c r="A1488" s="1164"/>
      <c r="B1488" s="1164"/>
      <c r="D1488" s="1224"/>
    </row>
    <row r="1489" spans="1:4" x14ac:dyDescent="0.2">
      <c r="A1489" s="1164"/>
      <c r="B1489" s="1164"/>
      <c r="D1489" s="1224"/>
    </row>
    <row r="1490" spans="1:4" x14ac:dyDescent="0.2">
      <c r="A1490" s="1164"/>
      <c r="B1490" s="1164"/>
      <c r="D1490" s="1224"/>
    </row>
    <row r="1491" spans="1:4" x14ac:dyDescent="0.2">
      <c r="A1491" s="1164"/>
      <c r="B1491" s="1164"/>
      <c r="D1491" s="1224"/>
    </row>
    <row r="1492" spans="1:4" x14ac:dyDescent="0.2">
      <c r="A1492" s="1164"/>
      <c r="B1492" s="1164"/>
      <c r="D1492" s="1224"/>
    </row>
    <row r="1493" spans="1:4" x14ac:dyDescent="0.2">
      <c r="A1493" s="1164"/>
      <c r="B1493" s="1164"/>
      <c r="D1493" s="1224"/>
    </row>
    <row r="1494" spans="1:4" x14ac:dyDescent="0.2">
      <c r="A1494" s="1164"/>
      <c r="B1494" s="1164"/>
      <c r="D1494" s="1224"/>
    </row>
    <row r="1495" spans="1:4" x14ac:dyDescent="0.2">
      <c r="A1495" s="1164"/>
      <c r="B1495" s="1164"/>
      <c r="D1495" s="1224"/>
    </row>
    <row r="1496" spans="1:4" x14ac:dyDescent="0.2">
      <c r="A1496" s="1164"/>
      <c r="B1496" s="1164"/>
      <c r="D1496" s="1224"/>
    </row>
    <row r="1497" spans="1:4" x14ac:dyDescent="0.2">
      <c r="A1497" s="1164"/>
      <c r="B1497" s="1164"/>
      <c r="D1497" s="1224"/>
    </row>
    <row r="1498" spans="1:4" x14ac:dyDescent="0.2">
      <c r="A1498" s="1164"/>
      <c r="B1498" s="1164"/>
      <c r="D1498" s="1224"/>
    </row>
    <row r="1499" spans="1:4" x14ac:dyDescent="0.2">
      <c r="A1499" s="1164"/>
      <c r="B1499" s="1164"/>
      <c r="D1499" s="1224"/>
    </row>
    <row r="1500" spans="1:4" x14ac:dyDescent="0.2">
      <c r="A1500" s="1164"/>
      <c r="B1500" s="1164"/>
      <c r="D1500" s="1224"/>
    </row>
    <row r="1501" spans="1:4" x14ac:dyDescent="0.2">
      <c r="A1501" s="1164"/>
      <c r="B1501" s="1164"/>
      <c r="D1501" s="1224"/>
    </row>
    <row r="1502" spans="1:4" x14ac:dyDescent="0.2">
      <c r="A1502" s="1164"/>
      <c r="B1502" s="1164"/>
      <c r="D1502" s="1224"/>
    </row>
    <row r="1503" spans="1:4" x14ac:dyDescent="0.2">
      <c r="A1503" s="1164"/>
      <c r="B1503" s="1164"/>
      <c r="D1503" s="1224"/>
    </row>
    <row r="1504" spans="1:4" x14ac:dyDescent="0.2">
      <c r="A1504" s="1164"/>
      <c r="B1504" s="1164"/>
      <c r="D1504" s="1224"/>
    </row>
    <row r="1505" spans="1:4" x14ac:dyDescent="0.2">
      <c r="A1505" s="1164"/>
      <c r="B1505" s="1164"/>
      <c r="D1505" s="1224"/>
    </row>
    <row r="1506" spans="1:4" x14ac:dyDescent="0.2">
      <c r="A1506" s="1164"/>
      <c r="B1506" s="1164"/>
      <c r="D1506" s="1224"/>
    </row>
    <row r="1507" spans="1:4" x14ac:dyDescent="0.2">
      <c r="A1507" s="1164"/>
      <c r="B1507" s="1164"/>
      <c r="D1507" s="1224"/>
    </row>
    <row r="1508" spans="1:4" x14ac:dyDescent="0.2">
      <c r="A1508" s="1164"/>
      <c r="B1508" s="1164"/>
      <c r="D1508" s="1224"/>
    </row>
    <row r="1509" spans="1:4" x14ac:dyDescent="0.2">
      <c r="A1509" s="1164"/>
      <c r="B1509" s="1164"/>
      <c r="D1509" s="1224"/>
    </row>
    <row r="1510" spans="1:4" x14ac:dyDescent="0.2">
      <c r="A1510" s="1164"/>
      <c r="B1510" s="1164"/>
      <c r="D1510" s="1224"/>
    </row>
    <row r="1511" spans="1:4" x14ac:dyDescent="0.2">
      <c r="A1511" s="1164"/>
      <c r="B1511" s="1164"/>
      <c r="D1511" s="1224"/>
    </row>
    <row r="1512" spans="1:4" x14ac:dyDescent="0.2">
      <c r="A1512" s="1164"/>
      <c r="B1512" s="1164"/>
      <c r="D1512" s="1224"/>
    </row>
    <row r="1513" spans="1:4" x14ac:dyDescent="0.2">
      <c r="A1513" s="1164"/>
      <c r="B1513" s="1164"/>
      <c r="D1513" s="1224"/>
    </row>
    <row r="1514" spans="1:4" x14ac:dyDescent="0.2">
      <c r="A1514" s="1164"/>
      <c r="B1514" s="1164"/>
      <c r="D1514" s="1224"/>
    </row>
    <row r="1515" spans="1:4" x14ac:dyDescent="0.2">
      <c r="A1515" s="1164"/>
      <c r="B1515" s="1164"/>
      <c r="D1515" s="1224"/>
    </row>
    <row r="1516" spans="1:4" x14ac:dyDescent="0.2">
      <c r="A1516" s="1164"/>
      <c r="B1516" s="1164"/>
      <c r="D1516" s="1224"/>
    </row>
    <row r="1517" spans="1:4" x14ac:dyDescent="0.2">
      <c r="A1517" s="1164"/>
      <c r="B1517" s="1164"/>
      <c r="D1517" s="1224"/>
    </row>
    <row r="1518" spans="1:4" x14ac:dyDescent="0.2">
      <c r="A1518" s="1164"/>
      <c r="B1518" s="1164"/>
      <c r="D1518" s="1224"/>
    </row>
    <row r="1519" spans="1:4" x14ac:dyDescent="0.2">
      <c r="A1519" s="1164"/>
      <c r="B1519" s="1164"/>
      <c r="D1519" s="1224"/>
    </row>
    <row r="1520" spans="1:4" x14ac:dyDescent="0.2">
      <c r="A1520" s="1164"/>
      <c r="B1520" s="1164"/>
      <c r="D1520" s="1224"/>
    </row>
    <row r="1521" spans="1:4" x14ac:dyDescent="0.2">
      <c r="A1521" s="1164"/>
      <c r="B1521" s="1164"/>
      <c r="D1521" s="1224"/>
    </row>
    <row r="1522" spans="1:4" x14ac:dyDescent="0.2">
      <c r="A1522" s="1164"/>
      <c r="B1522" s="1164"/>
      <c r="D1522" s="1224"/>
    </row>
    <row r="1523" spans="1:4" x14ac:dyDescent="0.2">
      <c r="A1523" s="1164"/>
      <c r="B1523" s="1164"/>
      <c r="D1523" s="1224"/>
    </row>
    <row r="1524" spans="1:4" x14ac:dyDescent="0.2">
      <c r="A1524" s="1164"/>
      <c r="B1524" s="1164"/>
      <c r="D1524" s="1224"/>
    </row>
    <row r="1525" spans="1:4" x14ac:dyDescent="0.2">
      <c r="A1525" s="1164"/>
      <c r="B1525" s="1164"/>
      <c r="D1525" s="1224"/>
    </row>
    <row r="1526" spans="1:4" x14ac:dyDescent="0.2">
      <c r="A1526" s="1164"/>
      <c r="B1526" s="1164"/>
      <c r="D1526" s="1224"/>
    </row>
    <row r="1527" spans="1:4" x14ac:dyDescent="0.2">
      <c r="A1527" s="1164"/>
      <c r="B1527" s="1164"/>
      <c r="D1527" s="1224"/>
    </row>
    <row r="1528" spans="1:4" x14ac:dyDescent="0.2">
      <c r="A1528" s="1164"/>
      <c r="B1528" s="1164"/>
      <c r="D1528" s="1224"/>
    </row>
    <row r="1529" spans="1:4" x14ac:dyDescent="0.2">
      <c r="A1529" s="1164"/>
      <c r="B1529" s="1164"/>
      <c r="D1529" s="1224"/>
    </row>
    <row r="1530" spans="1:4" x14ac:dyDescent="0.2">
      <c r="A1530" s="1164"/>
      <c r="B1530" s="1164"/>
      <c r="D1530" s="1224"/>
    </row>
    <row r="1531" spans="1:4" x14ac:dyDescent="0.2">
      <c r="A1531" s="1164"/>
      <c r="B1531" s="1164"/>
      <c r="D1531" s="1224"/>
    </row>
    <row r="1532" spans="1:4" x14ac:dyDescent="0.2">
      <c r="A1532" s="1164"/>
      <c r="B1532" s="1164"/>
      <c r="D1532" s="1224"/>
    </row>
    <row r="1533" spans="1:4" x14ac:dyDescent="0.2">
      <c r="A1533" s="1164"/>
      <c r="B1533" s="1164"/>
      <c r="D1533" s="1224"/>
    </row>
    <row r="1534" spans="1:4" x14ac:dyDescent="0.2">
      <c r="A1534" s="1164"/>
      <c r="B1534" s="1164"/>
      <c r="D1534" s="1224"/>
    </row>
    <row r="1535" spans="1:4" x14ac:dyDescent="0.2">
      <c r="A1535" s="1164"/>
      <c r="B1535" s="1164"/>
      <c r="D1535" s="1224"/>
    </row>
    <row r="1536" spans="1:4" x14ac:dyDescent="0.2">
      <c r="A1536" s="1164"/>
      <c r="B1536" s="1164"/>
      <c r="D1536" s="1224"/>
    </row>
    <row r="1537" spans="1:4" x14ac:dyDescent="0.2">
      <c r="A1537" s="1164"/>
      <c r="B1537" s="1164"/>
      <c r="D1537" s="1224"/>
    </row>
    <row r="1538" spans="1:4" x14ac:dyDescent="0.2">
      <c r="A1538" s="1164"/>
      <c r="B1538" s="1164"/>
      <c r="D1538" s="1224"/>
    </row>
    <row r="1539" spans="1:4" x14ac:dyDescent="0.2">
      <c r="A1539" s="1164"/>
      <c r="B1539" s="1164"/>
      <c r="D1539" s="1224"/>
    </row>
    <row r="1540" spans="1:4" x14ac:dyDescent="0.2">
      <c r="A1540" s="1164"/>
      <c r="B1540" s="1164"/>
      <c r="D1540" s="1224"/>
    </row>
    <row r="1541" spans="1:4" x14ac:dyDescent="0.2">
      <c r="A1541" s="1164"/>
      <c r="B1541" s="1164"/>
      <c r="D1541" s="1224"/>
    </row>
    <row r="1542" spans="1:4" x14ac:dyDescent="0.2">
      <c r="A1542" s="1164"/>
      <c r="B1542" s="1164"/>
      <c r="D1542" s="1224"/>
    </row>
    <row r="1543" spans="1:4" x14ac:dyDescent="0.2">
      <c r="A1543" s="1164"/>
      <c r="B1543" s="1164"/>
      <c r="D1543" s="1224"/>
    </row>
    <row r="1544" spans="1:4" x14ac:dyDescent="0.2">
      <c r="A1544" s="1164"/>
      <c r="B1544" s="1164"/>
      <c r="D1544" s="1224"/>
    </row>
    <row r="1545" spans="1:4" x14ac:dyDescent="0.2">
      <c r="A1545" s="1164"/>
      <c r="B1545" s="1164"/>
      <c r="D1545" s="1224"/>
    </row>
    <row r="1546" spans="1:4" x14ac:dyDescent="0.2">
      <c r="A1546" s="1164"/>
      <c r="B1546" s="1164"/>
      <c r="D1546" s="1224"/>
    </row>
    <row r="1547" spans="1:4" x14ac:dyDescent="0.2">
      <c r="A1547" s="1164"/>
      <c r="B1547" s="1164"/>
      <c r="D1547" s="1224"/>
    </row>
    <row r="1548" spans="1:4" x14ac:dyDescent="0.2">
      <c r="A1548" s="1164"/>
      <c r="B1548" s="1164"/>
      <c r="D1548" s="1224"/>
    </row>
    <row r="1549" spans="1:4" x14ac:dyDescent="0.2">
      <c r="A1549" s="1164"/>
      <c r="B1549" s="1164"/>
      <c r="D1549" s="1224"/>
    </row>
    <row r="1550" spans="1:4" x14ac:dyDescent="0.2">
      <c r="A1550" s="1164"/>
      <c r="B1550" s="1164"/>
      <c r="D1550" s="1224"/>
    </row>
    <row r="1551" spans="1:4" x14ac:dyDescent="0.2">
      <c r="A1551" s="1164"/>
      <c r="B1551" s="1164"/>
      <c r="D1551" s="1224"/>
    </row>
    <row r="1552" spans="1:4" x14ac:dyDescent="0.2">
      <c r="A1552" s="1164"/>
      <c r="B1552" s="1164"/>
      <c r="D1552" s="1224"/>
    </row>
    <row r="1553" spans="1:4" x14ac:dyDescent="0.2">
      <c r="A1553" s="1164"/>
      <c r="B1553" s="1164"/>
      <c r="D1553" s="1224"/>
    </row>
    <row r="1554" spans="1:4" x14ac:dyDescent="0.2">
      <c r="A1554" s="1164"/>
      <c r="B1554" s="1164"/>
      <c r="D1554" s="1224"/>
    </row>
    <row r="1555" spans="1:4" x14ac:dyDescent="0.2">
      <c r="A1555" s="1164"/>
      <c r="B1555" s="1164"/>
      <c r="D1555" s="1224"/>
    </row>
    <row r="1556" spans="1:4" x14ac:dyDescent="0.2">
      <c r="A1556" s="1164"/>
      <c r="B1556" s="1164"/>
      <c r="D1556" s="1224"/>
    </row>
    <row r="1557" spans="1:4" x14ac:dyDescent="0.2">
      <c r="A1557" s="1164"/>
      <c r="B1557" s="1164"/>
      <c r="D1557" s="1224"/>
    </row>
    <row r="1558" spans="1:4" x14ac:dyDescent="0.2">
      <c r="A1558" s="1164"/>
      <c r="B1558" s="1164"/>
      <c r="D1558" s="1224"/>
    </row>
    <row r="1559" spans="1:4" x14ac:dyDescent="0.2">
      <c r="A1559" s="1164"/>
      <c r="B1559" s="1164"/>
      <c r="D1559" s="1224"/>
    </row>
    <row r="1560" spans="1:4" x14ac:dyDescent="0.2">
      <c r="A1560" s="1164"/>
      <c r="B1560" s="1164"/>
      <c r="D1560" s="1224"/>
    </row>
    <row r="1561" spans="1:4" x14ac:dyDescent="0.2">
      <c r="A1561" s="1164"/>
      <c r="B1561" s="1164"/>
      <c r="D1561" s="1224"/>
    </row>
    <row r="1562" spans="1:4" x14ac:dyDescent="0.2">
      <c r="A1562" s="1164"/>
      <c r="B1562" s="1164"/>
      <c r="D1562" s="1224"/>
    </row>
    <row r="1563" spans="1:4" x14ac:dyDescent="0.2">
      <c r="A1563" s="1164"/>
      <c r="B1563" s="1164"/>
      <c r="D1563" s="1224"/>
    </row>
    <row r="1564" spans="1:4" x14ac:dyDescent="0.2">
      <c r="A1564" s="1164"/>
      <c r="B1564" s="1164"/>
      <c r="D1564" s="1224"/>
    </row>
    <row r="1565" spans="1:4" x14ac:dyDescent="0.2">
      <c r="A1565" s="1164"/>
      <c r="B1565" s="1164"/>
      <c r="D1565" s="1224"/>
    </row>
    <row r="1566" spans="1:4" x14ac:dyDescent="0.2">
      <c r="A1566" s="1164"/>
      <c r="B1566" s="1164"/>
      <c r="D1566" s="1224"/>
    </row>
    <row r="1567" spans="1:4" x14ac:dyDescent="0.2">
      <c r="A1567" s="1164"/>
      <c r="B1567" s="1164"/>
      <c r="D1567" s="1224"/>
    </row>
    <row r="1568" spans="1:4" x14ac:dyDescent="0.2">
      <c r="A1568" s="1164"/>
      <c r="B1568" s="1164"/>
      <c r="D1568" s="1224"/>
    </row>
    <row r="1569" spans="1:4" x14ac:dyDescent="0.2">
      <c r="A1569" s="1164"/>
      <c r="B1569" s="1164"/>
      <c r="D1569" s="1224"/>
    </row>
    <row r="1570" spans="1:4" x14ac:dyDescent="0.2">
      <c r="A1570" s="1164"/>
      <c r="B1570" s="1164"/>
      <c r="D1570" s="1224"/>
    </row>
    <row r="1571" spans="1:4" x14ac:dyDescent="0.2">
      <c r="A1571" s="1164"/>
      <c r="B1571" s="1164"/>
      <c r="D1571" s="1224"/>
    </row>
    <row r="1572" spans="1:4" x14ac:dyDescent="0.2">
      <c r="A1572" s="1164"/>
      <c r="B1572" s="1164"/>
      <c r="D1572" s="1224"/>
    </row>
    <row r="1573" spans="1:4" x14ac:dyDescent="0.2">
      <c r="A1573" s="1164"/>
      <c r="B1573" s="1164"/>
      <c r="D1573" s="1224"/>
    </row>
    <row r="1574" spans="1:4" x14ac:dyDescent="0.2">
      <c r="A1574" s="1164"/>
      <c r="B1574" s="1164"/>
      <c r="D1574" s="1224"/>
    </row>
    <row r="1575" spans="1:4" x14ac:dyDescent="0.2">
      <c r="A1575" s="1164"/>
      <c r="B1575" s="1164"/>
      <c r="D1575" s="1224"/>
    </row>
    <row r="1576" spans="1:4" x14ac:dyDescent="0.2">
      <c r="A1576" s="1164"/>
      <c r="B1576" s="1164"/>
      <c r="D1576" s="1224"/>
    </row>
    <row r="1577" spans="1:4" x14ac:dyDescent="0.2">
      <c r="A1577" s="1164"/>
      <c r="B1577" s="1164"/>
      <c r="D1577" s="1224"/>
    </row>
    <row r="1578" spans="1:4" x14ac:dyDescent="0.2">
      <c r="A1578" s="1164"/>
      <c r="B1578" s="1164"/>
      <c r="D1578" s="1224"/>
    </row>
    <row r="1579" spans="1:4" x14ac:dyDescent="0.2">
      <c r="A1579" s="1164"/>
      <c r="B1579" s="1164"/>
      <c r="D1579" s="1224"/>
    </row>
    <row r="1580" spans="1:4" x14ac:dyDescent="0.2">
      <c r="A1580" s="1164"/>
      <c r="B1580" s="1164"/>
      <c r="D1580" s="1224"/>
    </row>
    <row r="1581" spans="1:4" x14ac:dyDescent="0.2">
      <c r="A1581" s="1164"/>
      <c r="B1581" s="1164"/>
      <c r="D1581" s="1224"/>
    </row>
    <row r="1582" spans="1:4" x14ac:dyDescent="0.2">
      <c r="A1582" s="1164"/>
      <c r="B1582" s="1164"/>
      <c r="D1582" s="1224"/>
    </row>
    <row r="1583" spans="1:4" x14ac:dyDescent="0.2">
      <c r="A1583" s="1164"/>
      <c r="B1583" s="1164"/>
      <c r="D1583" s="1224"/>
    </row>
    <row r="1584" spans="1:4" x14ac:dyDescent="0.2">
      <c r="A1584" s="1164"/>
      <c r="B1584" s="1164"/>
      <c r="D1584" s="1224"/>
    </row>
    <row r="1585" spans="1:4" x14ac:dyDescent="0.2">
      <c r="A1585" s="1164"/>
      <c r="B1585" s="1164"/>
      <c r="D1585" s="1224"/>
    </row>
    <row r="1586" spans="1:4" x14ac:dyDescent="0.2">
      <c r="A1586" s="1164"/>
      <c r="B1586" s="1164"/>
      <c r="D1586" s="1224"/>
    </row>
    <row r="1587" spans="1:4" x14ac:dyDescent="0.2">
      <c r="A1587" s="1164"/>
      <c r="B1587" s="1164"/>
      <c r="D1587" s="1224"/>
    </row>
    <row r="1588" spans="1:4" x14ac:dyDescent="0.2">
      <c r="A1588" s="1164"/>
      <c r="B1588" s="1164"/>
      <c r="D1588" s="1224"/>
    </row>
    <row r="1589" spans="1:4" x14ac:dyDescent="0.2">
      <c r="A1589" s="1164"/>
      <c r="B1589" s="1164"/>
      <c r="D1589" s="1224"/>
    </row>
    <row r="1590" spans="1:4" x14ac:dyDescent="0.2">
      <c r="A1590" s="1164"/>
      <c r="B1590" s="1164"/>
      <c r="D1590" s="1224"/>
    </row>
    <row r="1591" spans="1:4" x14ac:dyDescent="0.2">
      <c r="A1591" s="1164"/>
      <c r="B1591" s="1164"/>
      <c r="D1591" s="1224"/>
    </row>
    <row r="1592" spans="1:4" x14ac:dyDescent="0.2">
      <c r="A1592" s="1164"/>
      <c r="B1592" s="1164"/>
      <c r="D1592" s="1224"/>
    </row>
    <row r="1593" spans="1:4" x14ac:dyDescent="0.2">
      <c r="A1593" s="1164"/>
      <c r="B1593" s="1164"/>
      <c r="D1593" s="1224"/>
    </row>
    <row r="1594" spans="1:4" x14ac:dyDescent="0.2">
      <c r="A1594" s="1164"/>
      <c r="B1594" s="1164"/>
      <c r="D1594" s="1224"/>
    </row>
    <row r="1595" spans="1:4" x14ac:dyDescent="0.2">
      <c r="A1595" s="1164"/>
      <c r="B1595" s="1164"/>
      <c r="D1595" s="1224"/>
    </row>
    <row r="1596" spans="1:4" x14ac:dyDescent="0.2">
      <c r="A1596" s="1164"/>
      <c r="B1596" s="1164"/>
      <c r="D1596" s="1224"/>
    </row>
    <row r="1597" spans="1:4" x14ac:dyDescent="0.2">
      <c r="A1597" s="1164"/>
      <c r="B1597" s="1164"/>
      <c r="D1597" s="1224"/>
    </row>
    <row r="1598" spans="1:4" x14ac:dyDescent="0.2">
      <c r="A1598" s="1164"/>
      <c r="B1598" s="1164"/>
      <c r="D1598" s="1224"/>
    </row>
    <row r="1599" spans="1:4" x14ac:dyDescent="0.2">
      <c r="A1599" s="1164"/>
      <c r="B1599" s="1164"/>
      <c r="D1599" s="1224"/>
    </row>
    <row r="1600" spans="1:4" x14ac:dyDescent="0.2">
      <c r="A1600" s="1164"/>
      <c r="B1600" s="1164"/>
      <c r="D1600" s="1224"/>
    </row>
    <row r="1601" spans="1:4" x14ac:dyDescent="0.2">
      <c r="A1601" s="1164"/>
      <c r="B1601" s="1164"/>
      <c r="D1601" s="1224"/>
    </row>
    <row r="1602" spans="1:4" x14ac:dyDescent="0.2">
      <c r="A1602" s="1164"/>
      <c r="B1602" s="1164"/>
      <c r="D1602" s="1224"/>
    </row>
    <row r="1603" spans="1:4" x14ac:dyDescent="0.2">
      <c r="A1603" s="1164"/>
      <c r="B1603" s="1164"/>
      <c r="D1603" s="1224"/>
    </row>
    <row r="1604" spans="1:4" x14ac:dyDescent="0.2">
      <c r="A1604" s="1164"/>
      <c r="B1604" s="1164"/>
      <c r="D1604" s="1224"/>
    </row>
    <row r="1605" spans="1:4" x14ac:dyDescent="0.2">
      <c r="A1605" s="1164"/>
      <c r="B1605" s="1164"/>
      <c r="D1605" s="1224"/>
    </row>
    <row r="1606" spans="1:4" x14ac:dyDescent="0.2">
      <c r="A1606" s="1164"/>
      <c r="B1606" s="1164"/>
      <c r="D1606" s="1224"/>
    </row>
    <row r="1607" spans="1:4" x14ac:dyDescent="0.2">
      <c r="A1607" s="1164"/>
      <c r="B1607" s="1164"/>
      <c r="D1607" s="1224"/>
    </row>
    <row r="1608" spans="1:4" x14ac:dyDescent="0.2">
      <c r="A1608" s="1164"/>
      <c r="B1608" s="1164"/>
      <c r="D1608" s="1224"/>
    </row>
    <row r="1609" spans="1:4" x14ac:dyDescent="0.2">
      <c r="A1609" s="1164"/>
      <c r="B1609" s="1164"/>
      <c r="D1609" s="1224"/>
    </row>
    <row r="1610" spans="1:4" x14ac:dyDescent="0.2">
      <c r="A1610" s="1164"/>
      <c r="B1610" s="1164"/>
      <c r="D1610" s="1224"/>
    </row>
    <row r="1611" spans="1:4" x14ac:dyDescent="0.2">
      <c r="A1611" s="1164"/>
      <c r="B1611" s="1164"/>
      <c r="D1611" s="1224"/>
    </row>
    <row r="1612" spans="1:4" x14ac:dyDescent="0.2">
      <c r="A1612" s="1164"/>
      <c r="B1612" s="1164"/>
      <c r="D1612" s="1224"/>
    </row>
    <row r="1613" spans="1:4" x14ac:dyDescent="0.2">
      <c r="A1613" s="1164"/>
      <c r="B1613" s="1164"/>
      <c r="D1613" s="1224"/>
    </row>
    <row r="1614" spans="1:4" x14ac:dyDescent="0.2">
      <c r="A1614" s="1164"/>
      <c r="B1614" s="1164"/>
      <c r="D1614" s="1224"/>
    </row>
    <row r="1615" spans="1:4" x14ac:dyDescent="0.2">
      <c r="A1615" s="1164"/>
      <c r="B1615" s="1164"/>
      <c r="D1615" s="1224"/>
    </row>
    <row r="1616" spans="1:4" x14ac:dyDescent="0.2">
      <c r="A1616" s="1164"/>
      <c r="B1616" s="1164"/>
      <c r="D1616" s="1224"/>
    </row>
    <row r="1617" spans="1:4" x14ac:dyDescent="0.2">
      <c r="A1617" s="1164"/>
      <c r="B1617" s="1164"/>
      <c r="D1617" s="1224"/>
    </row>
    <row r="1618" spans="1:4" x14ac:dyDescent="0.2">
      <c r="A1618" s="1164"/>
      <c r="B1618" s="1164"/>
      <c r="D1618" s="1224"/>
    </row>
    <row r="1619" spans="1:4" x14ac:dyDescent="0.2">
      <c r="A1619" s="1164"/>
      <c r="B1619" s="1164"/>
      <c r="D1619" s="1224"/>
    </row>
    <row r="1620" spans="1:4" x14ac:dyDescent="0.2">
      <c r="A1620" s="1164"/>
      <c r="B1620" s="1164"/>
      <c r="D1620" s="1224"/>
    </row>
    <row r="1621" spans="1:4" x14ac:dyDescent="0.2">
      <c r="A1621" s="1164"/>
      <c r="B1621" s="1164"/>
      <c r="D1621" s="1224"/>
    </row>
    <row r="1622" spans="1:4" x14ac:dyDescent="0.2">
      <c r="A1622" s="1164"/>
      <c r="B1622" s="1164"/>
      <c r="D1622" s="1224"/>
    </row>
    <row r="1623" spans="1:4" x14ac:dyDescent="0.2">
      <c r="A1623" s="1164"/>
      <c r="B1623" s="1164"/>
      <c r="D1623" s="1224"/>
    </row>
    <row r="1624" spans="1:4" x14ac:dyDescent="0.2">
      <c r="A1624" s="1164"/>
      <c r="B1624" s="1164"/>
      <c r="D1624" s="1224"/>
    </row>
    <row r="1625" spans="1:4" x14ac:dyDescent="0.2">
      <c r="A1625" s="1164"/>
      <c r="B1625" s="1164"/>
      <c r="D1625" s="1224"/>
    </row>
    <row r="1626" spans="1:4" x14ac:dyDescent="0.2">
      <c r="A1626" s="1164"/>
      <c r="B1626" s="1164"/>
      <c r="D1626" s="1224"/>
    </row>
    <row r="1627" spans="1:4" x14ac:dyDescent="0.2">
      <c r="A1627" s="1164"/>
      <c r="B1627" s="1164"/>
      <c r="D1627" s="1224"/>
    </row>
    <row r="1628" spans="1:4" x14ac:dyDescent="0.2">
      <c r="A1628" s="1164"/>
      <c r="B1628" s="1164"/>
      <c r="D1628" s="1224"/>
    </row>
    <row r="1629" spans="1:4" x14ac:dyDescent="0.2">
      <c r="A1629" s="1164"/>
      <c r="B1629" s="1164"/>
      <c r="D1629" s="1224"/>
    </row>
    <row r="1630" spans="1:4" x14ac:dyDescent="0.2">
      <c r="A1630" s="1164"/>
      <c r="B1630" s="1164"/>
      <c r="D1630" s="1224"/>
    </row>
    <row r="1631" spans="1:4" x14ac:dyDescent="0.2">
      <c r="A1631" s="1164"/>
      <c r="B1631" s="1164"/>
      <c r="D1631" s="1224"/>
    </row>
    <row r="1632" spans="1:4" x14ac:dyDescent="0.2">
      <c r="A1632" s="1164"/>
      <c r="B1632" s="1164"/>
      <c r="D1632" s="1224"/>
    </row>
    <row r="1633" spans="1:4" x14ac:dyDescent="0.2">
      <c r="A1633" s="1164"/>
      <c r="B1633" s="1164"/>
      <c r="D1633" s="1224"/>
    </row>
    <row r="1634" spans="1:4" x14ac:dyDescent="0.2">
      <c r="A1634" s="1164"/>
      <c r="B1634" s="1164"/>
      <c r="D1634" s="1224"/>
    </row>
    <row r="1635" spans="1:4" x14ac:dyDescent="0.2">
      <c r="A1635" s="1164"/>
      <c r="B1635" s="1164"/>
      <c r="D1635" s="1224"/>
    </row>
    <row r="1636" spans="1:4" x14ac:dyDescent="0.2">
      <c r="A1636" s="1164"/>
      <c r="B1636" s="1164"/>
      <c r="D1636" s="1224"/>
    </row>
    <row r="1637" spans="1:4" x14ac:dyDescent="0.2">
      <c r="A1637" s="1164"/>
      <c r="B1637" s="1164"/>
      <c r="D1637" s="1224"/>
    </row>
    <row r="1638" spans="1:4" x14ac:dyDescent="0.2">
      <c r="A1638" s="1164"/>
      <c r="B1638" s="1164"/>
      <c r="D1638" s="1224"/>
    </row>
    <row r="1639" spans="1:4" x14ac:dyDescent="0.2">
      <c r="A1639" s="1164"/>
      <c r="B1639" s="1164"/>
      <c r="D1639" s="1224"/>
    </row>
    <row r="1640" spans="1:4" x14ac:dyDescent="0.2">
      <c r="A1640" s="1164"/>
      <c r="B1640" s="1164"/>
      <c r="D1640" s="1224"/>
    </row>
    <row r="1641" spans="1:4" x14ac:dyDescent="0.2">
      <c r="A1641" s="1164"/>
      <c r="B1641" s="1164"/>
      <c r="D1641" s="1224"/>
    </row>
    <row r="1642" spans="1:4" x14ac:dyDescent="0.2">
      <c r="A1642" s="1164"/>
      <c r="B1642" s="1164"/>
      <c r="D1642" s="1224"/>
    </row>
    <row r="1643" spans="1:4" x14ac:dyDescent="0.2">
      <c r="A1643" s="1164"/>
      <c r="B1643" s="1164"/>
      <c r="D1643" s="1224"/>
    </row>
    <row r="1644" spans="1:4" x14ac:dyDescent="0.2">
      <c r="A1644" s="1164"/>
      <c r="B1644" s="1164"/>
      <c r="D1644" s="1224"/>
    </row>
    <row r="1645" spans="1:4" x14ac:dyDescent="0.2">
      <c r="A1645" s="1164"/>
      <c r="B1645" s="1164"/>
      <c r="D1645" s="1224"/>
    </row>
    <row r="1646" spans="1:4" x14ac:dyDescent="0.2">
      <c r="A1646" s="1164"/>
      <c r="B1646" s="1164"/>
      <c r="D1646" s="1224"/>
    </row>
    <row r="1647" spans="1:4" x14ac:dyDescent="0.2">
      <c r="A1647" s="1164"/>
      <c r="B1647" s="1164"/>
      <c r="D1647" s="1224"/>
    </row>
    <row r="1648" spans="1:4" x14ac:dyDescent="0.2">
      <c r="A1648" s="1164"/>
      <c r="B1648" s="1164"/>
      <c r="D1648" s="1224"/>
    </row>
    <row r="1649" spans="1:4" x14ac:dyDescent="0.2">
      <c r="A1649" s="1164"/>
      <c r="B1649" s="1164"/>
      <c r="D1649" s="1224"/>
    </row>
    <row r="1650" spans="1:4" x14ac:dyDescent="0.2">
      <c r="A1650" s="1164"/>
      <c r="B1650" s="1164"/>
      <c r="D1650" s="1224"/>
    </row>
    <row r="1651" spans="1:4" x14ac:dyDescent="0.2">
      <c r="A1651" s="1164"/>
      <c r="B1651" s="1164"/>
      <c r="D1651" s="1224"/>
    </row>
    <row r="1652" spans="1:4" x14ac:dyDescent="0.2">
      <c r="A1652" s="1164"/>
      <c r="B1652" s="1164"/>
      <c r="D1652" s="1224"/>
    </row>
    <row r="1653" spans="1:4" x14ac:dyDescent="0.2">
      <c r="A1653" s="1164"/>
      <c r="B1653" s="1164"/>
      <c r="D1653" s="1224"/>
    </row>
    <row r="1654" spans="1:4" x14ac:dyDescent="0.2">
      <c r="A1654" s="1164"/>
      <c r="B1654" s="1164"/>
      <c r="D1654" s="1224"/>
    </row>
    <row r="1655" spans="1:4" x14ac:dyDescent="0.2">
      <c r="A1655" s="1164"/>
      <c r="B1655" s="1164"/>
      <c r="D1655" s="1224"/>
    </row>
    <row r="1656" spans="1:4" x14ac:dyDescent="0.2">
      <c r="A1656" s="1164"/>
      <c r="B1656" s="1164"/>
      <c r="D1656" s="1224"/>
    </row>
    <row r="1657" spans="1:4" x14ac:dyDescent="0.2">
      <c r="A1657" s="1164"/>
      <c r="B1657" s="1164"/>
      <c r="D1657" s="1224"/>
    </row>
    <row r="1658" spans="1:4" x14ac:dyDescent="0.2">
      <c r="A1658" s="1164"/>
      <c r="B1658" s="1164"/>
      <c r="D1658" s="1224"/>
    </row>
    <row r="1659" spans="1:4" x14ac:dyDescent="0.2">
      <c r="A1659" s="1164"/>
      <c r="B1659" s="1164"/>
      <c r="D1659" s="1224"/>
    </row>
    <row r="1660" spans="1:4" x14ac:dyDescent="0.2">
      <c r="A1660" s="1164"/>
      <c r="B1660" s="1164"/>
      <c r="D1660" s="1224"/>
    </row>
    <row r="1661" spans="1:4" x14ac:dyDescent="0.2">
      <c r="A1661" s="1164"/>
      <c r="B1661" s="1164"/>
      <c r="D1661" s="1224"/>
    </row>
    <row r="1662" spans="1:4" x14ac:dyDescent="0.2">
      <c r="A1662" s="1164"/>
      <c r="B1662" s="1164"/>
      <c r="D1662" s="1224"/>
    </row>
    <row r="1663" spans="1:4" x14ac:dyDescent="0.2">
      <c r="A1663" s="1164"/>
      <c r="B1663" s="1164"/>
      <c r="D1663" s="1224"/>
    </row>
    <row r="1664" spans="1:4" x14ac:dyDescent="0.2">
      <c r="A1664" s="1164"/>
      <c r="B1664" s="1164"/>
      <c r="D1664" s="1224"/>
    </row>
    <row r="1665" spans="1:4" x14ac:dyDescent="0.2">
      <c r="A1665" s="1164"/>
      <c r="B1665" s="1164"/>
      <c r="D1665" s="1224"/>
    </row>
    <row r="1666" spans="1:4" x14ac:dyDescent="0.2">
      <c r="A1666" s="1164"/>
      <c r="B1666" s="1164"/>
      <c r="D1666" s="1224"/>
    </row>
    <row r="1667" spans="1:4" x14ac:dyDescent="0.2">
      <c r="A1667" s="1164"/>
      <c r="B1667" s="1164"/>
      <c r="D1667" s="1224"/>
    </row>
    <row r="1668" spans="1:4" x14ac:dyDescent="0.2">
      <c r="A1668" s="1164"/>
      <c r="B1668" s="1164"/>
      <c r="D1668" s="1224"/>
    </row>
    <row r="1669" spans="1:4" x14ac:dyDescent="0.2">
      <c r="A1669" s="1164"/>
      <c r="B1669" s="1164"/>
      <c r="D1669" s="1224"/>
    </row>
    <row r="1670" spans="1:4" x14ac:dyDescent="0.2">
      <c r="A1670" s="1164"/>
      <c r="B1670" s="1164"/>
      <c r="D1670" s="1224"/>
    </row>
    <row r="1671" spans="1:4" x14ac:dyDescent="0.2">
      <c r="A1671" s="1164"/>
      <c r="B1671" s="1164"/>
      <c r="D1671" s="1224"/>
    </row>
    <row r="1672" spans="1:4" x14ac:dyDescent="0.2">
      <c r="A1672" s="1164"/>
      <c r="B1672" s="1164"/>
      <c r="D1672" s="1224"/>
    </row>
    <row r="1673" spans="1:4" x14ac:dyDescent="0.2">
      <c r="A1673" s="1164"/>
      <c r="B1673" s="1164"/>
      <c r="D1673" s="1224"/>
    </row>
    <row r="1674" spans="1:4" x14ac:dyDescent="0.2">
      <c r="A1674" s="1164"/>
      <c r="B1674" s="1164"/>
      <c r="D1674" s="1224"/>
    </row>
    <row r="1675" spans="1:4" x14ac:dyDescent="0.2">
      <c r="A1675" s="1164"/>
      <c r="B1675" s="1164"/>
      <c r="D1675" s="1224"/>
    </row>
    <row r="1676" spans="1:4" x14ac:dyDescent="0.2">
      <c r="A1676" s="1164"/>
      <c r="B1676" s="1164"/>
      <c r="D1676" s="1224"/>
    </row>
    <row r="1677" spans="1:4" x14ac:dyDescent="0.2">
      <c r="A1677" s="1164"/>
      <c r="B1677" s="1164"/>
      <c r="D1677" s="1224"/>
    </row>
    <row r="1678" spans="1:4" x14ac:dyDescent="0.2">
      <c r="A1678" s="1164"/>
      <c r="B1678" s="1164"/>
      <c r="D1678" s="1224"/>
    </row>
    <row r="1679" spans="1:4" x14ac:dyDescent="0.2">
      <c r="A1679" s="1164"/>
      <c r="B1679" s="1164"/>
      <c r="D1679" s="1224"/>
    </row>
    <row r="1680" spans="1:4" x14ac:dyDescent="0.2">
      <c r="A1680" s="1164"/>
      <c r="B1680" s="1164"/>
      <c r="D1680" s="1224"/>
    </row>
    <row r="1681" spans="1:4" x14ac:dyDescent="0.2">
      <c r="A1681" s="1164"/>
      <c r="B1681" s="1164"/>
      <c r="D1681" s="1224"/>
    </row>
    <row r="1682" spans="1:4" x14ac:dyDescent="0.2">
      <c r="A1682" s="1164"/>
      <c r="B1682" s="1164"/>
      <c r="D1682" s="1224"/>
    </row>
    <row r="1683" spans="1:4" x14ac:dyDescent="0.2">
      <c r="A1683" s="1164"/>
      <c r="B1683" s="1164"/>
      <c r="D1683" s="1224"/>
    </row>
    <row r="1684" spans="1:4" x14ac:dyDescent="0.2">
      <c r="A1684" s="1164"/>
      <c r="B1684" s="1164"/>
      <c r="D1684" s="1224"/>
    </row>
    <row r="1685" spans="1:4" x14ac:dyDescent="0.2">
      <c r="A1685" s="1164"/>
      <c r="B1685" s="1164"/>
      <c r="D1685" s="1224"/>
    </row>
    <row r="1686" spans="1:4" x14ac:dyDescent="0.2">
      <c r="A1686" s="1164"/>
      <c r="B1686" s="1164"/>
      <c r="D1686" s="1224"/>
    </row>
    <row r="1687" spans="1:4" x14ac:dyDescent="0.2">
      <c r="A1687" s="1164"/>
      <c r="B1687" s="1164"/>
      <c r="D1687" s="1224"/>
    </row>
    <row r="1688" spans="1:4" x14ac:dyDescent="0.2">
      <c r="A1688" s="1164"/>
      <c r="B1688" s="1164"/>
      <c r="D1688" s="1224"/>
    </row>
    <row r="1689" spans="1:4" x14ac:dyDescent="0.2">
      <c r="A1689" s="1164"/>
      <c r="B1689" s="1164"/>
      <c r="D1689" s="1224"/>
    </row>
    <row r="1690" spans="1:4" x14ac:dyDescent="0.2">
      <c r="A1690" s="1164"/>
      <c r="B1690" s="1164"/>
      <c r="D1690" s="1224"/>
    </row>
    <row r="1691" spans="1:4" x14ac:dyDescent="0.2">
      <c r="A1691" s="1164"/>
      <c r="B1691" s="1164"/>
      <c r="D1691" s="1224"/>
    </row>
    <row r="1692" spans="1:4" x14ac:dyDescent="0.2">
      <c r="A1692" s="1164"/>
      <c r="B1692" s="1164"/>
      <c r="D1692" s="1224"/>
    </row>
    <row r="1693" spans="1:4" x14ac:dyDescent="0.2">
      <c r="A1693" s="1164"/>
      <c r="B1693" s="1164"/>
      <c r="D1693" s="1224"/>
    </row>
    <row r="1694" spans="1:4" x14ac:dyDescent="0.2">
      <c r="A1694" s="1164"/>
      <c r="B1694" s="1164"/>
      <c r="D1694" s="1224"/>
    </row>
    <row r="1695" spans="1:4" x14ac:dyDescent="0.2">
      <c r="A1695" s="1164"/>
      <c r="B1695" s="1164"/>
      <c r="D1695" s="1224"/>
    </row>
    <row r="1696" spans="1:4" x14ac:dyDescent="0.2">
      <c r="A1696" s="1164"/>
      <c r="B1696" s="1164"/>
      <c r="D1696" s="1224"/>
    </row>
    <row r="1697" spans="1:4" x14ac:dyDescent="0.2">
      <c r="A1697" s="1164"/>
      <c r="B1697" s="1164"/>
      <c r="D1697" s="1224"/>
    </row>
    <row r="1698" spans="1:4" x14ac:dyDescent="0.2">
      <c r="A1698" s="1164"/>
      <c r="B1698" s="1164"/>
      <c r="D1698" s="1224"/>
    </row>
    <row r="1699" spans="1:4" x14ac:dyDescent="0.2">
      <c r="A1699" s="1164"/>
      <c r="B1699" s="1164"/>
      <c r="D1699" s="1224"/>
    </row>
    <row r="1700" spans="1:4" x14ac:dyDescent="0.2">
      <c r="A1700" s="1164"/>
      <c r="B1700" s="1164"/>
      <c r="D1700" s="1224"/>
    </row>
    <row r="1701" spans="1:4" x14ac:dyDescent="0.2">
      <c r="A1701" s="1164"/>
      <c r="B1701" s="1164"/>
      <c r="D1701" s="1224"/>
    </row>
    <row r="1702" spans="1:4" x14ac:dyDescent="0.2">
      <c r="A1702" s="1164"/>
      <c r="B1702" s="1164"/>
      <c r="D1702" s="1224"/>
    </row>
    <row r="1703" spans="1:4" x14ac:dyDescent="0.2">
      <c r="A1703" s="1164"/>
      <c r="B1703" s="1164"/>
      <c r="D1703" s="1224"/>
    </row>
    <row r="1704" spans="1:4" x14ac:dyDescent="0.2">
      <c r="A1704" s="1164"/>
      <c r="B1704" s="1164"/>
      <c r="D1704" s="1224"/>
    </row>
    <row r="1705" spans="1:4" x14ac:dyDescent="0.2">
      <c r="A1705" s="1164"/>
      <c r="B1705" s="1164"/>
      <c r="D1705" s="1224"/>
    </row>
    <row r="1706" spans="1:4" x14ac:dyDescent="0.2">
      <c r="A1706" s="1164"/>
      <c r="B1706" s="1164"/>
      <c r="D1706" s="1224"/>
    </row>
    <row r="1707" spans="1:4" x14ac:dyDescent="0.2">
      <c r="A1707" s="1164"/>
      <c r="B1707" s="1164"/>
      <c r="D1707" s="1224"/>
    </row>
    <row r="1708" spans="1:4" x14ac:dyDescent="0.2">
      <c r="A1708" s="1164"/>
      <c r="B1708" s="1164"/>
      <c r="D1708" s="1224"/>
    </row>
    <row r="1709" spans="1:4" x14ac:dyDescent="0.2">
      <c r="A1709" s="1164"/>
      <c r="B1709" s="1164"/>
      <c r="D1709" s="1224"/>
    </row>
    <row r="1710" spans="1:4" x14ac:dyDescent="0.2">
      <c r="A1710" s="1164"/>
      <c r="B1710" s="1164"/>
      <c r="D1710" s="1224"/>
    </row>
    <row r="1711" spans="1:4" x14ac:dyDescent="0.2">
      <c r="A1711" s="1164"/>
      <c r="B1711" s="1164"/>
      <c r="D1711" s="1224"/>
    </row>
    <row r="1712" spans="1:4" x14ac:dyDescent="0.2">
      <c r="A1712" s="1164"/>
      <c r="B1712" s="1164"/>
      <c r="D1712" s="1224"/>
    </row>
    <row r="1713" spans="1:4" x14ac:dyDescent="0.2">
      <c r="A1713" s="1164"/>
      <c r="B1713" s="1164"/>
      <c r="D1713" s="1224"/>
    </row>
    <row r="1714" spans="1:4" x14ac:dyDescent="0.2">
      <c r="A1714" s="1164"/>
      <c r="B1714" s="1164"/>
      <c r="D1714" s="1224"/>
    </row>
    <row r="1715" spans="1:4" x14ac:dyDescent="0.2">
      <c r="A1715" s="1164"/>
      <c r="B1715" s="1164"/>
      <c r="D1715" s="1224"/>
    </row>
    <row r="1716" spans="1:4" x14ac:dyDescent="0.2">
      <c r="A1716" s="1164"/>
      <c r="B1716" s="1164"/>
      <c r="D1716" s="1224"/>
    </row>
    <row r="1717" spans="1:4" x14ac:dyDescent="0.2">
      <c r="A1717" s="1164"/>
      <c r="B1717" s="1164"/>
      <c r="D1717" s="1224"/>
    </row>
    <row r="1718" spans="1:4" x14ac:dyDescent="0.2">
      <c r="A1718" s="1164"/>
      <c r="B1718" s="1164"/>
      <c r="D1718" s="1224"/>
    </row>
    <row r="1719" spans="1:4" x14ac:dyDescent="0.2">
      <c r="A1719" s="1164"/>
      <c r="B1719" s="1164"/>
      <c r="D1719" s="1224"/>
    </row>
    <row r="1720" spans="1:4" x14ac:dyDescent="0.2">
      <c r="A1720" s="1164"/>
      <c r="B1720" s="1164"/>
      <c r="D1720" s="1224"/>
    </row>
    <row r="1721" spans="1:4" x14ac:dyDescent="0.2">
      <c r="A1721" s="1164"/>
      <c r="B1721" s="1164"/>
      <c r="D1721" s="1224"/>
    </row>
    <row r="1722" spans="1:4" x14ac:dyDescent="0.2">
      <c r="A1722" s="1164"/>
      <c r="B1722" s="1164"/>
      <c r="D1722" s="1224"/>
    </row>
    <row r="1723" spans="1:4" x14ac:dyDescent="0.2">
      <c r="A1723" s="1164"/>
      <c r="B1723" s="1164"/>
      <c r="D1723" s="1224"/>
    </row>
    <row r="1724" spans="1:4" x14ac:dyDescent="0.2">
      <c r="A1724" s="1164"/>
      <c r="B1724" s="1164"/>
      <c r="D1724" s="1224"/>
    </row>
    <row r="1725" spans="1:4" x14ac:dyDescent="0.2">
      <c r="A1725" s="1164"/>
      <c r="B1725" s="1164"/>
      <c r="D1725" s="1224"/>
    </row>
    <row r="1726" spans="1:4" x14ac:dyDescent="0.2">
      <c r="A1726" s="1164"/>
      <c r="B1726" s="1164"/>
      <c r="D1726" s="1224"/>
    </row>
    <row r="1727" spans="1:4" x14ac:dyDescent="0.2">
      <c r="A1727" s="1164"/>
      <c r="B1727" s="1164"/>
      <c r="D1727" s="1224"/>
    </row>
    <row r="1728" spans="1:4" x14ac:dyDescent="0.2">
      <c r="A1728" s="1164"/>
      <c r="B1728" s="1164"/>
      <c r="D1728" s="1224"/>
    </row>
    <row r="1729" spans="1:4" x14ac:dyDescent="0.2">
      <c r="A1729" s="1164"/>
      <c r="B1729" s="1164"/>
      <c r="D1729" s="1224"/>
    </row>
    <row r="1730" spans="1:4" x14ac:dyDescent="0.2">
      <c r="A1730" s="1164"/>
      <c r="B1730" s="1164"/>
      <c r="D1730" s="1224"/>
    </row>
    <row r="1731" spans="1:4" x14ac:dyDescent="0.2">
      <c r="A1731" s="1164"/>
      <c r="B1731" s="1164"/>
      <c r="D1731" s="1224"/>
    </row>
    <row r="1732" spans="1:4" x14ac:dyDescent="0.2">
      <c r="A1732" s="1164"/>
      <c r="B1732" s="1164"/>
      <c r="D1732" s="1224"/>
    </row>
    <row r="1733" spans="1:4" x14ac:dyDescent="0.2">
      <c r="A1733" s="1164"/>
      <c r="B1733" s="1164"/>
      <c r="D1733" s="1224"/>
    </row>
    <row r="1734" spans="1:4" x14ac:dyDescent="0.2">
      <c r="A1734" s="1164"/>
      <c r="B1734" s="1164"/>
      <c r="D1734" s="1224"/>
    </row>
    <row r="1735" spans="1:4" x14ac:dyDescent="0.2">
      <c r="A1735" s="1164"/>
      <c r="B1735" s="1164"/>
      <c r="D1735" s="1224"/>
    </row>
    <row r="1736" spans="1:4" x14ac:dyDescent="0.2">
      <c r="A1736" s="1164"/>
      <c r="B1736" s="1164"/>
      <c r="D1736" s="1224"/>
    </row>
    <row r="1737" spans="1:4" x14ac:dyDescent="0.2">
      <c r="A1737" s="1164"/>
      <c r="B1737" s="1164"/>
      <c r="D1737" s="1224"/>
    </row>
    <row r="1738" spans="1:4" x14ac:dyDescent="0.2">
      <c r="A1738" s="1164"/>
      <c r="B1738" s="1164"/>
      <c r="D1738" s="1224"/>
    </row>
    <row r="1739" spans="1:4" x14ac:dyDescent="0.2">
      <c r="A1739" s="1164"/>
      <c r="B1739" s="1164"/>
      <c r="D1739" s="1224"/>
    </row>
    <row r="1740" spans="1:4" x14ac:dyDescent="0.2">
      <c r="A1740" s="1164"/>
      <c r="B1740" s="1164"/>
      <c r="D1740" s="1224"/>
    </row>
    <row r="1741" spans="1:4" x14ac:dyDescent="0.2">
      <c r="A1741" s="1164"/>
      <c r="B1741" s="1164"/>
      <c r="D1741" s="1224"/>
    </row>
    <row r="1742" spans="1:4" x14ac:dyDescent="0.2">
      <c r="A1742" s="1164"/>
      <c r="B1742" s="1164"/>
      <c r="D1742" s="1224"/>
    </row>
    <row r="1743" spans="1:4" x14ac:dyDescent="0.2">
      <c r="A1743" s="1164"/>
      <c r="B1743" s="1164"/>
      <c r="D1743" s="1224"/>
    </row>
    <row r="1744" spans="1:4" x14ac:dyDescent="0.2">
      <c r="A1744" s="1164"/>
      <c r="B1744" s="1164"/>
      <c r="D1744" s="1224"/>
    </row>
    <row r="1745" spans="1:4" x14ac:dyDescent="0.2">
      <c r="A1745" s="1164"/>
      <c r="B1745" s="1164"/>
      <c r="D1745" s="1224"/>
    </row>
    <row r="1746" spans="1:4" x14ac:dyDescent="0.2">
      <c r="A1746" s="1164"/>
      <c r="B1746" s="1164"/>
      <c r="D1746" s="1224"/>
    </row>
    <row r="1747" spans="1:4" x14ac:dyDescent="0.2">
      <c r="A1747" s="1164"/>
      <c r="B1747" s="1164"/>
      <c r="D1747" s="1224"/>
    </row>
    <row r="1748" spans="1:4" x14ac:dyDescent="0.2">
      <c r="A1748" s="1164"/>
      <c r="B1748" s="1164"/>
      <c r="D1748" s="1224"/>
    </row>
    <row r="1749" spans="1:4" x14ac:dyDescent="0.2">
      <c r="A1749" s="1164"/>
      <c r="B1749" s="1164"/>
      <c r="D1749" s="1224"/>
    </row>
    <row r="1750" spans="1:4" x14ac:dyDescent="0.2">
      <c r="A1750" s="1164"/>
      <c r="B1750" s="1164"/>
      <c r="D1750" s="1224"/>
    </row>
    <row r="1751" spans="1:4" x14ac:dyDescent="0.2">
      <c r="A1751" s="1164"/>
      <c r="B1751" s="1164"/>
      <c r="D1751" s="1224"/>
    </row>
    <row r="1752" spans="1:4" x14ac:dyDescent="0.2">
      <c r="A1752" s="1164"/>
      <c r="B1752" s="1164"/>
      <c r="D1752" s="1224"/>
    </row>
    <row r="1753" spans="1:4" x14ac:dyDescent="0.2">
      <c r="A1753" s="1164"/>
      <c r="B1753" s="1164"/>
      <c r="D1753" s="1224"/>
    </row>
    <row r="1754" spans="1:4" x14ac:dyDescent="0.2">
      <c r="A1754" s="1164"/>
      <c r="B1754" s="1164"/>
      <c r="D1754" s="1224"/>
    </row>
    <row r="1755" spans="1:4" x14ac:dyDescent="0.2">
      <c r="A1755" s="1164"/>
      <c r="B1755" s="1164"/>
      <c r="D1755" s="1224"/>
    </row>
    <row r="1756" spans="1:4" x14ac:dyDescent="0.2">
      <c r="A1756" s="1164"/>
      <c r="B1756" s="1164"/>
      <c r="D1756" s="1224"/>
    </row>
    <row r="1757" spans="1:4" x14ac:dyDescent="0.2">
      <c r="A1757" s="1164"/>
      <c r="B1757" s="1164"/>
      <c r="D1757" s="1224"/>
    </row>
    <row r="1758" spans="1:4" x14ac:dyDescent="0.2">
      <c r="A1758" s="1164"/>
      <c r="B1758" s="1164"/>
      <c r="D1758" s="1224"/>
    </row>
    <row r="1759" spans="1:4" x14ac:dyDescent="0.2">
      <c r="A1759" s="1164"/>
      <c r="B1759" s="1164"/>
      <c r="D1759" s="1224"/>
    </row>
    <row r="1760" spans="1:4" x14ac:dyDescent="0.2">
      <c r="A1760" s="1164"/>
      <c r="B1760" s="1164"/>
      <c r="D1760" s="1224"/>
    </row>
    <row r="1761" spans="1:4" x14ac:dyDescent="0.2">
      <c r="A1761" s="1164"/>
      <c r="B1761" s="1164"/>
      <c r="D1761" s="1224"/>
    </row>
    <row r="1762" spans="1:4" x14ac:dyDescent="0.2">
      <c r="A1762" s="1164"/>
      <c r="B1762" s="1164"/>
      <c r="D1762" s="1224"/>
    </row>
    <row r="1763" spans="1:4" x14ac:dyDescent="0.2">
      <c r="A1763" s="1164"/>
      <c r="B1763" s="1164"/>
      <c r="D1763" s="1224"/>
    </row>
    <row r="1764" spans="1:4" x14ac:dyDescent="0.2">
      <c r="A1764" s="1164"/>
      <c r="B1764" s="1164"/>
      <c r="D1764" s="1224"/>
    </row>
    <row r="1765" spans="1:4" x14ac:dyDescent="0.2">
      <c r="A1765" s="1164"/>
      <c r="B1765" s="1164"/>
      <c r="D1765" s="1224"/>
    </row>
    <row r="1766" spans="1:4" x14ac:dyDescent="0.2">
      <c r="A1766" s="1164"/>
      <c r="B1766" s="1164"/>
      <c r="D1766" s="1224"/>
    </row>
    <row r="1767" spans="1:4" x14ac:dyDescent="0.2">
      <c r="A1767" s="1164"/>
      <c r="B1767" s="1164"/>
      <c r="D1767" s="1224"/>
    </row>
    <row r="1768" spans="1:4" x14ac:dyDescent="0.2">
      <c r="A1768" s="1164"/>
      <c r="B1768" s="1164"/>
      <c r="D1768" s="1224"/>
    </row>
    <row r="1769" spans="1:4" x14ac:dyDescent="0.2">
      <c r="A1769" s="1164"/>
      <c r="B1769" s="1164"/>
      <c r="D1769" s="1224"/>
    </row>
    <row r="1770" spans="1:4" x14ac:dyDescent="0.2">
      <c r="A1770" s="1164"/>
      <c r="B1770" s="1164"/>
      <c r="D1770" s="1224"/>
    </row>
    <row r="1771" spans="1:4" x14ac:dyDescent="0.2">
      <c r="A1771" s="1164"/>
      <c r="B1771" s="1164"/>
      <c r="D1771" s="1224"/>
    </row>
    <row r="1772" spans="1:4" x14ac:dyDescent="0.2">
      <c r="A1772" s="1164"/>
      <c r="B1772" s="1164"/>
      <c r="D1772" s="1224"/>
    </row>
    <row r="1773" spans="1:4" x14ac:dyDescent="0.2">
      <c r="A1773" s="1164"/>
      <c r="B1773" s="1164"/>
      <c r="D1773" s="1224"/>
    </row>
    <row r="1774" spans="1:4" x14ac:dyDescent="0.2">
      <c r="A1774" s="1164"/>
      <c r="B1774" s="1164"/>
      <c r="D1774" s="1224"/>
    </row>
    <row r="1775" spans="1:4" x14ac:dyDescent="0.2">
      <c r="A1775" s="1164"/>
      <c r="B1775" s="1164"/>
      <c r="D1775" s="1224"/>
    </row>
    <row r="1776" spans="1:4" x14ac:dyDescent="0.2">
      <c r="A1776" s="1164"/>
      <c r="B1776" s="1164"/>
      <c r="D1776" s="1224"/>
    </row>
    <row r="1777" spans="1:4" x14ac:dyDescent="0.2">
      <c r="A1777" s="1164"/>
      <c r="B1777" s="1164"/>
      <c r="D1777" s="1224"/>
    </row>
    <row r="1778" spans="1:4" x14ac:dyDescent="0.2">
      <c r="A1778" s="1164"/>
      <c r="B1778" s="1164"/>
      <c r="D1778" s="1224"/>
    </row>
    <row r="1779" spans="1:4" x14ac:dyDescent="0.2">
      <c r="A1779" s="1164"/>
      <c r="B1779" s="1164"/>
      <c r="D1779" s="1224"/>
    </row>
    <row r="1780" spans="1:4" x14ac:dyDescent="0.2">
      <c r="A1780" s="1164"/>
      <c r="B1780" s="1164"/>
      <c r="D1780" s="1224"/>
    </row>
    <row r="1781" spans="1:4" x14ac:dyDescent="0.2">
      <c r="A1781" s="1164"/>
      <c r="B1781" s="1164"/>
      <c r="D1781" s="1224"/>
    </row>
    <row r="1782" spans="1:4" x14ac:dyDescent="0.2">
      <c r="A1782" s="1164"/>
      <c r="B1782" s="1164"/>
      <c r="D1782" s="1224"/>
    </row>
    <row r="1783" spans="1:4" x14ac:dyDescent="0.2">
      <c r="A1783" s="1164"/>
      <c r="B1783" s="1164"/>
      <c r="D1783" s="1224"/>
    </row>
    <row r="1784" spans="1:4" x14ac:dyDescent="0.2">
      <c r="A1784" s="1164"/>
      <c r="B1784" s="1164"/>
      <c r="D1784" s="1224"/>
    </row>
    <row r="1785" spans="1:4" x14ac:dyDescent="0.2">
      <c r="A1785" s="1164"/>
      <c r="B1785" s="1164"/>
      <c r="D1785" s="1224"/>
    </row>
    <row r="1786" spans="1:4" x14ac:dyDescent="0.2">
      <c r="A1786" s="1164"/>
      <c r="B1786" s="1164"/>
      <c r="D1786" s="1224"/>
    </row>
    <row r="1787" spans="1:4" x14ac:dyDescent="0.2">
      <c r="A1787" s="1164"/>
      <c r="B1787" s="1164"/>
      <c r="D1787" s="1224"/>
    </row>
    <row r="1788" spans="1:4" x14ac:dyDescent="0.2">
      <c r="A1788" s="1164"/>
      <c r="B1788" s="1164"/>
      <c r="D1788" s="1224"/>
    </row>
    <row r="1789" spans="1:4" x14ac:dyDescent="0.2">
      <c r="A1789" s="1164"/>
      <c r="B1789" s="1164"/>
      <c r="D1789" s="1224"/>
    </row>
    <row r="1790" spans="1:4" x14ac:dyDescent="0.2">
      <c r="A1790" s="1164"/>
      <c r="B1790" s="1164"/>
      <c r="D1790" s="1224"/>
    </row>
    <row r="1791" spans="1:4" x14ac:dyDescent="0.2">
      <c r="A1791" s="1164"/>
      <c r="B1791" s="1164"/>
      <c r="D1791" s="1224"/>
    </row>
    <row r="1792" spans="1:4" x14ac:dyDescent="0.2">
      <c r="A1792" s="1164"/>
      <c r="B1792" s="1164"/>
      <c r="D1792" s="1224"/>
    </row>
    <row r="1793" spans="1:4" x14ac:dyDescent="0.2">
      <c r="A1793" s="1164"/>
      <c r="B1793" s="1164"/>
      <c r="D1793" s="1224"/>
    </row>
    <row r="1794" spans="1:4" x14ac:dyDescent="0.2">
      <c r="A1794" s="1164"/>
      <c r="B1794" s="1164"/>
      <c r="D1794" s="1224"/>
    </row>
    <row r="1795" spans="1:4" x14ac:dyDescent="0.2">
      <c r="A1795" s="1164"/>
      <c r="B1795" s="1164"/>
      <c r="D1795" s="1224"/>
    </row>
    <row r="1796" spans="1:4" x14ac:dyDescent="0.2">
      <c r="A1796" s="1164"/>
      <c r="B1796" s="1164"/>
      <c r="D1796" s="1224"/>
    </row>
    <row r="1797" spans="1:4" x14ac:dyDescent="0.2">
      <c r="A1797" s="1164"/>
      <c r="B1797" s="1164"/>
      <c r="D1797" s="1224"/>
    </row>
    <row r="1798" spans="1:4" x14ac:dyDescent="0.2">
      <c r="A1798" s="1164"/>
      <c r="B1798" s="1164"/>
      <c r="D1798" s="1224"/>
    </row>
    <row r="1799" spans="1:4" x14ac:dyDescent="0.2">
      <c r="A1799" s="1164"/>
      <c r="B1799" s="1164"/>
      <c r="D1799" s="1224"/>
    </row>
    <row r="1800" spans="1:4" x14ac:dyDescent="0.2">
      <c r="A1800" s="1164"/>
      <c r="B1800" s="1164"/>
      <c r="D1800" s="1224"/>
    </row>
    <row r="1801" spans="1:4" x14ac:dyDescent="0.2">
      <c r="A1801" s="1164"/>
      <c r="B1801" s="1164"/>
      <c r="D1801" s="1224"/>
    </row>
    <row r="1802" spans="1:4" x14ac:dyDescent="0.2">
      <c r="A1802" s="1164"/>
      <c r="B1802" s="1164"/>
      <c r="D1802" s="1224"/>
    </row>
    <row r="1803" spans="1:4" x14ac:dyDescent="0.2">
      <c r="A1803" s="1164"/>
      <c r="B1803" s="1164"/>
      <c r="D1803" s="1224"/>
    </row>
    <row r="1804" spans="1:4" x14ac:dyDescent="0.2">
      <c r="A1804" s="1164"/>
      <c r="B1804" s="1164"/>
      <c r="D1804" s="1224"/>
    </row>
    <row r="1805" spans="1:4" x14ac:dyDescent="0.2">
      <c r="A1805" s="1164"/>
      <c r="B1805" s="1164"/>
      <c r="D1805" s="1224"/>
    </row>
    <row r="1806" spans="1:4" x14ac:dyDescent="0.2">
      <c r="A1806" s="1164"/>
      <c r="B1806" s="1164"/>
      <c r="D1806" s="1224"/>
    </row>
    <row r="1807" spans="1:4" x14ac:dyDescent="0.2">
      <c r="A1807" s="1164"/>
      <c r="B1807" s="1164"/>
      <c r="D1807" s="1224"/>
    </row>
    <row r="1808" spans="1:4" x14ac:dyDescent="0.2">
      <c r="A1808" s="1164"/>
      <c r="B1808" s="1164"/>
      <c r="D1808" s="1224"/>
    </row>
    <row r="1809" spans="1:4" x14ac:dyDescent="0.2">
      <c r="A1809" s="1164"/>
      <c r="B1809" s="1164"/>
      <c r="D1809" s="1224"/>
    </row>
    <row r="1810" spans="1:4" x14ac:dyDescent="0.2">
      <c r="A1810" s="1164"/>
      <c r="B1810" s="1164"/>
      <c r="D1810" s="1224"/>
    </row>
    <row r="1811" spans="1:4" x14ac:dyDescent="0.2">
      <c r="A1811" s="1164"/>
      <c r="B1811" s="1164"/>
      <c r="D1811" s="1224"/>
    </row>
    <row r="1812" spans="1:4" x14ac:dyDescent="0.2">
      <c r="A1812" s="1164"/>
      <c r="B1812" s="1164"/>
      <c r="D1812" s="1224"/>
    </row>
    <row r="1813" spans="1:4" x14ac:dyDescent="0.2">
      <c r="A1813" s="1164"/>
      <c r="B1813" s="1164"/>
      <c r="D1813" s="1224"/>
    </row>
    <row r="1814" spans="1:4" x14ac:dyDescent="0.2">
      <c r="A1814" s="1164"/>
      <c r="B1814" s="1164"/>
      <c r="D1814" s="1224"/>
    </row>
    <row r="1815" spans="1:4" x14ac:dyDescent="0.2">
      <c r="A1815" s="1164"/>
      <c r="B1815" s="1164"/>
      <c r="D1815" s="1224"/>
    </row>
    <row r="1816" spans="1:4" x14ac:dyDescent="0.2">
      <c r="A1816" s="1164"/>
      <c r="B1816" s="1164"/>
      <c r="D1816" s="1224"/>
    </row>
    <row r="1817" spans="1:4" x14ac:dyDescent="0.2">
      <c r="A1817" s="1164"/>
      <c r="B1817" s="1164"/>
      <c r="D1817" s="1224"/>
    </row>
    <row r="1818" spans="1:4" x14ac:dyDescent="0.2">
      <c r="A1818" s="1164"/>
      <c r="B1818" s="1164"/>
      <c r="D1818" s="1224"/>
    </row>
    <row r="1819" spans="1:4" x14ac:dyDescent="0.2">
      <c r="A1819" s="1164"/>
      <c r="B1819" s="1164"/>
      <c r="D1819" s="1224"/>
    </row>
    <row r="1820" spans="1:4" x14ac:dyDescent="0.2">
      <c r="A1820" s="1164"/>
      <c r="B1820" s="1164"/>
      <c r="D1820" s="1224"/>
    </row>
    <row r="1821" spans="1:4" x14ac:dyDescent="0.2">
      <c r="A1821" s="1164"/>
      <c r="B1821" s="1164"/>
      <c r="D1821" s="1224"/>
    </row>
    <row r="1822" spans="1:4" x14ac:dyDescent="0.2">
      <c r="A1822" s="1164"/>
      <c r="B1822" s="1164"/>
      <c r="D1822" s="1224"/>
    </row>
    <row r="1823" spans="1:4" x14ac:dyDescent="0.2">
      <c r="A1823" s="1164"/>
      <c r="B1823" s="1164"/>
      <c r="D1823" s="1224"/>
    </row>
    <row r="1824" spans="1:4" x14ac:dyDescent="0.2">
      <c r="A1824" s="1164"/>
      <c r="B1824" s="1164"/>
      <c r="D1824" s="1224"/>
    </row>
    <row r="1825" spans="1:4" x14ac:dyDescent="0.2">
      <c r="A1825" s="1164"/>
      <c r="B1825" s="1164"/>
      <c r="D1825" s="1224"/>
    </row>
    <row r="1826" spans="1:4" x14ac:dyDescent="0.2">
      <c r="A1826" s="1164"/>
      <c r="B1826" s="1164"/>
      <c r="D1826" s="1224"/>
    </row>
    <row r="1827" spans="1:4" x14ac:dyDescent="0.2">
      <c r="A1827" s="1164"/>
      <c r="B1827" s="1164"/>
      <c r="D1827" s="1224"/>
    </row>
    <row r="1828" spans="1:4" x14ac:dyDescent="0.2">
      <c r="A1828" s="1164"/>
      <c r="B1828" s="1164"/>
      <c r="D1828" s="1224"/>
    </row>
    <row r="1829" spans="1:4" x14ac:dyDescent="0.2">
      <c r="A1829" s="1164"/>
      <c r="B1829" s="1164"/>
      <c r="D1829" s="1224"/>
    </row>
    <row r="1830" spans="1:4" x14ac:dyDescent="0.2">
      <c r="A1830" s="1164"/>
      <c r="B1830" s="1164"/>
      <c r="D1830" s="1224"/>
    </row>
    <row r="1831" spans="1:4" x14ac:dyDescent="0.2">
      <c r="A1831" s="1164"/>
      <c r="B1831" s="1164"/>
      <c r="D1831" s="1224"/>
    </row>
    <row r="1832" spans="1:4" x14ac:dyDescent="0.2">
      <c r="A1832" s="1164"/>
      <c r="B1832" s="1164"/>
      <c r="D1832" s="1224"/>
    </row>
    <row r="1833" spans="1:4" x14ac:dyDescent="0.2">
      <c r="A1833" s="1164"/>
      <c r="B1833" s="1164"/>
      <c r="D1833" s="1224"/>
    </row>
    <row r="1834" spans="1:4" x14ac:dyDescent="0.2">
      <c r="A1834" s="1164"/>
      <c r="B1834" s="1164"/>
      <c r="D1834" s="1224"/>
    </row>
    <row r="1835" spans="1:4" x14ac:dyDescent="0.2">
      <c r="A1835" s="1164"/>
      <c r="B1835" s="1164"/>
      <c r="D1835" s="1224"/>
    </row>
    <row r="1836" spans="1:4" x14ac:dyDescent="0.2">
      <c r="A1836" s="1164"/>
      <c r="B1836" s="1164"/>
      <c r="D1836" s="1224"/>
    </row>
    <row r="1837" spans="1:4" x14ac:dyDescent="0.2">
      <c r="A1837" s="1164"/>
      <c r="B1837" s="1164"/>
      <c r="D1837" s="1224"/>
    </row>
    <row r="1838" spans="1:4" x14ac:dyDescent="0.2">
      <c r="A1838" s="1164"/>
      <c r="B1838" s="1164"/>
      <c r="D1838" s="1224"/>
    </row>
    <row r="1839" spans="1:4" x14ac:dyDescent="0.2">
      <c r="A1839" s="1164"/>
      <c r="B1839" s="1164"/>
      <c r="D1839" s="1224"/>
    </row>
    <row r="1840" spans="1:4" x14ac:dyDescent="0.2">
      <c r="A1840" s="1164"/>
      <c r="B1840" s="1164"/>
      <c r="D1840" s="1224"/>
    </row>
    <row r="1841" spans="1:4" x14ac:dyDescent="0.2">
      <c r="A1841" s="1164"/>
      <c r="B1841" s="1164"/>
      <c r="D1841" s="1224"/>
    </row>
    <row r="1842" spans="1:4" x14ac:dyDescent="0.2">
      <c r="A1842" s="1164"/>
      <c r="B1842" s="1164"/>
      <c r="D1842" s="1224"/>
    </row>
    <row r="1843" spans="1:4" x14ac:dyDescent="0.2">
      <c r="A1843" s="1164"/>
      <c r="B1843" s="1164"/>
      <c r="D1843" s="1224"/>
    </row>
    <row r="1844" spans="1:4" x14ac:dyDescent="0.2">
      <c r="A1844" s="1164"/>
      <c r="B1844" s="1164"/>
      <c r="D1844" s="1224"/>
    </row>
    <row r="1845" spans="1:4" x14ac:dyDescent="0.2">
      <c r="A1845" s="1164"/>
      <c r="B1845" s="1164"/>
      <c r="D1845" s="1224"/>
    </row>
    <row r="1846" spans="1:4" x14ac:dyDescent="0.2">
      <c r="A1846" s="1164"/>
      <c r="B1846" s="1164"/>
      <c r="D1846" s="1224"/>
    </row>
    <row r="1847" spans="1:4" x14ac:dyDescent="0.2">
      <c r="A1847" s="1164"/>
      <c r="B1847" s="1164"/>
      <c r="D1847" s="1224"/>
    </row>
    <row r="1848" spans="1:4" x14ac:dyDescent="0.2">
      <c r="A1848" s="1164"/>
      <c r="B1848" s="1164"/>
      <c r="D1848" s="1224"/>
    </row>
    <row r="1849" spans="1:4" x14ac:dyDescent="0.2">
      <c r="A1849" s="1164"/>
      <c r="B1849" s="1164"/>
      <c r="D1849" s="1224"/>
    </row>
    <row r="1850" spans="1:4" x14ac:dyDescent="0.2">
      <c r="A1850" s="1164"/>
      <c r="B1850" s="1164"/>
      <c r="D1850" s="1224"/>
    </row>
    <row r="1851" spans="1:4" x14ac:dyDescent="0.2">
      <c r="A1851" s="1164"/>
      <c r="B1851" s="1164"/>
      <c r="D1851" s="1224"/>
    </row>
    <row r="1852" spans="1:4" x14ac:dyDescent="0.2">
      <c r="A1852" s="1164"/>
      <c r="B1852" s="1164"/>
      <c r="D1852" s="1224"/>
    </row>
    <row r="1853" spans="1:4" x14ac:dyDescent="0.2">
      <c r="A1853" s="1164"/>
      <c r="B1853" s="1164"/>
      <c r="D1853" s="1224"/>
    </row>
    <row r="1854" spans="1:4" x14ac:dyDescent="0.2">
      <c r="A1854" s="1164"/>
      <c r="B1854" s="1164"/>
      <c r="D1854" s="1224"/>
    </row>
    <row r="1855" spans="1:4" x14ac:dyDescent="0.2">
      <c r="A1855" s="1164"/>
      <c r="B1855" s="1164"/>
      <c r="D1855" s="1224"/>
    </row>
    <row r="1856" spans="1:4" x14ac:dyDescent="0.2">
      <c r="A1856" s="1164"/>
      <c r="B1856" s="1164"/>
      <c r="D1856" s="1224"/>
    </row>
    <row r="1857" spans="1:4" x14ac:dyDescent="0.2">
      <c r="A1857" s="1164"/>
      <c r="B1857" s="1164"/>
      <c r="D1857" s="1224"/>
    </row>
    <row r="1858" spans="1:4" x14ac:dyDescent="0.2">
      <c r="A1858" s="1164"/>
      <c r="B1858" s="1164"/>
      <c r="D1858" s="1224"/>
    </row>
    <row r="1859" spans="1:4" x14ac:dyDescent="0.2">
      <c r="A1859" s="1164"/>
      <c r="B1859" s="1164"/>
      <c r="D1859" s="1224"/>
    </row>
    <row r="1860" spans="1:4" x14ac:dyDescent="0.2">
      <c r="A1860" s="1164"/>
      <c r="B1860" s="1164"/>
      <c r="D1860" s="1224"/>
    </row>
    <row r="1861" spans="1:4" x14ac:dyDescent="0.2">
      <c r="A1861" s="1164"/>
      <c r="B1861" s="1164"/>
      <c r="D1861" s="1224"/>
    </row>
    <row r="1862" spans="1:4" x14ac:dyDescent="0.2">
      <c r="A1862" s="1164"/>
      <c r="B1862" s="1164"/>
      <c r="D1862" s="1224"/>
    </row>
    <row r="1863" spans="1:4" x14ac:dyDescent="0.2">
      <c r="A1863" s="1164"/>
      <c r="B1863" s="1164"/>
      <c r="D1863" s="1224"/>
    </row>
    <row r="1864" spans="1:4" x14ac:dyDescent="0.2">
      <c r="A1864" s="1164"/>
      <c r="B1864" s="1164"/>
      <c r="D1864" s="1224"/>
    </row>
    <row r="1865" spans="1:4" x14ac:dyDescent="0.2">
      <c r="A1865" s="1164"/>
      <c r="B1865" s="1164"/>
      <c r="D1865" s="1224"/>
    </row>
    <row r="1866" spans="1:4" x14ac:dyDescent="0.2">
      <c r="A1866" s="1164"/>
      <c r="B1866" s="1164"/>
      <c r="D1866" s="1224"/>
    </row>
    <row r="1867" spans="1:4" x14ac:dyDescent="0.2">
      <c r="A1867" s="1164"/>
      <c r="B1867" s="1164"/>
      <c r="D1867" s="1224"/>
    </row>
    <row r="1868" spans="1:4" x14ac:dyDescent="0.2">
      <c r="A1868" s="1164"/>
      <c r="B1868" s="1164"/>
      <c r="D1868" s="1224"/>
    </row>
    <row r="1869" spans="1:4" x14ac:dyDescent="0.2">
      <c r="A1869" s="1164"/>
      <c r="B1869" s="1164"/>
      <c r="D1869" s="1224"/>
    </row>
    <row r="1870" spans="1:4" x14ac:dyDescent="0.2">
      <c r="A1870" s="1164"/>
      <c r="B1870" s="1164"/>
      <c r="D1870" s="1224"/>
    </row>
    <row r="1871" spans="1:4" x14ac:dyDescent="0.2">
      <c r="A1871" s="1164"/>
      <c r="B1871" s="1164"/>
      <c r="D1871" s="1224"/>
    </row>
    <row r="1872" spans="1:4" x14ac:dyDescent="0.2">
      <c r="A1872" s="1164"/>
      <c r="B1872" s="1164"/>
      <c r="D1872" s="1224"/>
    </row>
    <row r="1873" spans="1:4" x14ac:dyDescent="0.2">
      <c r="A1873" s="1164"/>
      <c r="B1873" s="1164"/>
      <c r="D1873" s="1224"/>
    </row>
    <row r="1874" spans="1:4" x14ac:dyDescent="0.2">
      <c r="A1874" s="1164"/>
      <c r="B1874" s="1164"/>
      <c r="D1874" s="1224"/>
    </row>
    <row r="1875" spans="1:4" x14ac:dyDescent="0.2">
      <c r="A1875" s="1164"/>
      <c r="B1875" s="1164"/>
      <c r="D1875" s="1224"/>
    </row>
    <row r="1876" spans="1:4" x14ac:dyDescent="0.2">
      <c r="A1876" s="1164"/>
      <c r="B1876" s="1164"/>
      <c r="D1876" s="1224"/>
    </row>
    <row r="1877" spans="1:4" x14ac:dyDescent="0.2">
      <c r="A1877" s="1164"/>
      <c r="B1877" s="1164"/>
      <c r="D1877" s="1224"/>
    </row>
    <row r="1878" spans="1:4" x14ac:dyDescent="0.2">
      <c r="A1878" s="1164"/>
      <c r="B1878" s="1164"/>
      <c r="D1878" s="1224"/>
    </row>
    <row r="1879" spans="1:4" x14ac:dyDescent="0.2">
      <c r="A1879" s="1164"/>
      <c r="B1879" s="1164"/>
      <c r="D1879" s="1224"/>
    </row>
    <row r="1880" spans="1:4" x14ac:dyDescent="0.2">
      <c r="A1880" s="1164"/>
      <c r="B1880" s="1164"/>
      <c r="D1880" s="1224"/>
    </row>
    <row r="1881" spans="1:4" x14ac:dyDescent="0.2">
      <c r="A1881" s="1164"/>
      <c r="B1881" s="1164"/>
      <c r="D1881" s="1224"/>
    </row>
    <row r="1882" spans="1:4" x14ac:dyDescent="0.2">
      <c r="A1882" s="1164"/>
      <c r="B1882" s="1164"/>
      <c r="D1882" s="1224"/>
    </row>
    <row r="1883" spans="1:4" x14ac:dyDescent="0.2">
      <c r="A1883" s="1164"/>
      <c r="B1883" s="1164"/>
      <c r="D1883" s="1224"/>
    </row>
    <row r="1884" spans="1:4" x14ac:dyDescent="0.2">
      <c r="A1884" s="1164"/>
      <c r="B1884" s="1164"/>
      <c r="D1884" s="1224"/>
    </row>
    <row r="1885" spans="1:4" x14ac:dyDescent="0.2">
      <c r="A1885" s="1164"/>
      <c r="B1885" s="1164"/>
      <c r="D1885" s="1224"/>
    </row>
    <row r="1886" spans="1:4" x14ac:dyDescent="0.2">
      <c r="A1886" s="1164"/>
      <c r="B1886" s="1164"/>
      <c r="D1886" s="1224"/>
    </row>
    <row r="1887" spans="1:4" x14ac:dyDescent="0.2">
      <c r="A1887" s="1164"/>
      <c r="B1887" s="1164"/>
      <c r="D1887" s="1224"/>
    </row>
    <row r="1888" spans="1:4" x14ac:dyDescent="0.2">
      <c r="A1888" s="1164"/>
      <c r="B1888" s="1164"/>
      <c r="D1888" s="1224"/>
    </row>
    <row r="1889" spans="1:4" x14ac:dyDescent="0.2">
      <c r="A1889" s="1164"/>
      <c r="B1889" s="1164"/>
      <c r="D1889" s="1224"/>
    </row>
    <row r="1890" spans="1:4" x14ac:dyDescent="0.2">
      <c r="A1890" s="1164"/>
      <c r="B1890" s="1164"/>
      <c r="D1890" s="1224"/>
    </row>
    <row r="1891" spans="1:4" x14ac:dyDescent="0.2">
      <c r="A1891" s="1164"/>
      <c r="B1891" s="1164"/>
      <c r="D1891" s="1224"/>
    </row>
    <row r="1892" spans="1:4" x14ac:dyDescent="0.2">
      <c r="A1892" s="1164"/>
      <c r="B1892" s="1164"/>
      <c r="D1892" s="1224"/>
    </row>
    <row r="1893" spans="1:4" x14ac:dyDescent="0.2">
      <c r="A1893" s="1164"/>
      <c r="B1893" s="1164"/>
      <c r="D1893" s="1224"/>
    </row>
    <row r="1894" spans="1:4" x14ac:dyDescent="0.2">
      <c r="A1894" s="1164"/>
      <c r="B1894" s="1164"/>
      <c r="D1894" s="1224"/>
    </row>
    <row r="1895" spans="1:4" x14ac:dyDescent="0.2">
      <c r="A1895" s="1164"/>
      <c r="B1895" s="1164"/>
      <c r="D1895" s="1224"/>
    </row>
    <row r="1896" spans="1:4" x14ac:dyDescent="0.2">
      <c r="A1896" s="1164"/>
      <c r="B1896" s="1164"/>
      <c r="D1896" s="1224"/>
    </row>
    <row r="1897" spans="1:4" x14ac:dyDescent="0.2">
      <c r="A1897" s="1164"/>
      <c r="B1897" s="1164"/>
      <c r="D1897" s="1224"/>
    </row>
    <row r="1898" spans="1:4" x14ac:dyDescent="0.2">
      <c r="A1898" s="1164"/>
      <c r="B1898" s="1164"/>
      <c r="D1898" s="1224"/>
    </row>
    <row r="1899" spans="1:4" x14ac:dyDescent="0.2">
      <c r="A1899" s="1164"/>
      <c r="B1899" s="1164"/>
      <c r="D1899" s="1224"/>
    </row>
    <row r="1900" spans="1:4" x14ac:dyDescent="0.2">
      <c r="A1900" s="1164"/>
      <c r="B1900" s="1164"/>
      <c r="D1900" s="1224"/>
    </row>
    <row r="1901" spans="1:4" x14ac:dyDescent="0.2">
      <c r="A1901" s="1164"/>
      <c r="B1901" s="1164"/>
      <c r="D1901" s="1224"/>
    </row>
    <row r="1902" spans="1:4" x14ac:dyDescent="0.2">
      <c r="A1902" s="1164"/>
      <c r="B1902" s="1164"/>
      <c r="D1902" s="1224"/>
    </row>
    <row r="1903" spans="1:4" x14ac:dyDescent="0.2">
      <c r="A1903" s="1164"/>
      <c r="B1903" s="1164"/>
      <c r="D1903" s="1224"/>
    </row>
    <row r="1904" spans="1:4" x14ac:dyDescent="0.2">
      <c r="A1904" s="1164"/>
      <c r="B1904" s="1164"/>
      <c r="D1904" s="1224"/>
    </row>
    <row r="1905" spans="1:4" x14ac:dyDescent="0.2">
      <c r="A1905" s="1164"/>
      <c r="B1905" s="1164"/>
      <c r="D1905" s="1224"/>
    </row>
    <row r="1906" spans="1:4" x14ac:dyDescent="0.2">
      <c r="A1906" s="1164"/>
      <c r="B1906" s="1164"/>
      <c r="D1906" s="1224"/>
    </row>
    <row r="1907" spans="1:4" x14ac:dyDescent="0.2">
      <c r="A1907" s="1164"/>
      <c r="B1907" s="1164"/>
      <c r="D1907" s="1224"/>
    </row>
    <row r="1908" spans="1:4" x14ac:dyDescent="0.2">
      <c r="A1908" s="1164"/>
      <c r="B1908" s="1164"/>
      <c r="D1908" s="1224"/>
    </row>
    <row r="1909" spans="1:4" x14ac:dyDescent="0.2">
      <c r="A1909" s="1164"/>
      <c r="B1909" s="1164"/>
      <c r="D1909" s="1224"/>
    </row>
    <row r="1910" spans="1:4" x14ac:dyDescent="0.2">
      <c r="A1910" s="1164"/>
      <c r="B1910" s="1164"/>
      <c r="D1910" s="1224"/>
    </row>
    <row r="1911" spans="1:4" x14ac:dyDescent="0.2">
      <c r="A1911" s="1164"/>
      <c r="B1911" s="1164"/>
      <c r="D1911" s="1224"/>
    </row>
    <row r="1912" spans="1:4" x14ac:dyDescent="0.2">
      <c r="A1912" s="1164"/>
      <c r="B1912" s="1164"/>
      <c r="D1912" s="1224"/>
    </row>
    <row r="1913" spans="1:4" x14ac:dyDescent="0.2">
      <c r="A1913" s="1164"/>
      <c r="B1913" s="1164"/>
      <c r="D1913" s="1224"/>
    </row>
    <row r="1914" spans="1:4" x14ac:dyDescent="0.2">
      <c r="A1914" s="1164"/>
      <c r="B1914" s="1164"/>
      <c r="D1914" s="1224"/>
    </row>
    <row r="1915" spans="1:4" x14ac:dyDescent="0.2">
      <c r="A1915" s="1164"/>
      <c r="B1915" s="1164"/>
      <c r="D1915" s="1224"/>
    </row>
    <row r="1916" spans="1:4" x14ac:dyDescent="0.2">
      <c r="A1916" s="1164"/>
      <c r="B1916" s="1164"/>
      <c r="D1916" s="1224"/>
    </row>
    <row r="1917" spans="1:4" x14ac:dyDescent="0.2">
      <c r="A1917" s="1164"/>
      <c r="B1917" s="1164"/>
      <c r="D1917" s="1224"/>
    </row>
    <row r="1918" spans="1:4" x14ac:dyDescent="0.2">
      <c r="A1918" s="1164"/>
      <c r="B1918" s="1164"/>
      <c r="D1918" s="1224"/>
    </row>
    <row r="1919" spans="1:4" x14ac:dyDescent="0.2">
      <c r="A1919" s="1164"/>
      <c r="B1919" s="1164"/>
      <c r="D1919" s="1224"/>
    </row>
    <row r="1920" spans="1:4" x14ac:dyDescent="0.2">
      <c r="A1920" s="1164"/>
      <c r="B1920" s="1164"/>
      <c r="D1920" s="1224"/>
    </row>
    <row r="1921" spans="1:4" x14ac:dyDescent="0.2">
      <c r="A1921" s="1164"/>
      <c r="B1921" s="1164"/>
      <c r="D1921" s="1224"/>
    </row>
    <row r="1922" spans="1:4" x14ac:dyDescent="0.2">
      <c r="A1922" s="1164"/>
      <c r="B1922" s="1164"/>
      <c r="D1922" s="1224"/>
    </row>
    <row r="1923" spans="1:4" x14ac:dyDescent="0.2">
      <c r="A1923" s="1164"/>
      <c r="B1923" s="1164"/>
      <c r="D1923" s="1224"/>
    </row>
    <row r="1924" spans="1:4" x14ac:dyDescent="0.2">
      <c r="A1924" s="1164"/>
      <c r="B1924" s="1164"/>
      <c r="D1924" s="1224"/>
    </row>
    <row r="1925" spans="1:4" x14ac:dyDescent="0.2">
      <c r="A1925" s="1164"/>
      <c r="B1925" s="1164"/>
      <c r="D1925" s="1224"/>
    </row>
    <row r="1926" spans="1:4" x14ac:dyDescent="0.2">
      <c r="A1926" s="1164"/>
      <c r="B1926" s="1164"/>
      <c r="D1926" s="1224"/>
    </row>
    <row r="1927" spans="1:4" x14ac:dyDescent="0.2">
      <c r="A1927" s="1164"/>
      <c r="B1927" s="1164"/>
      <c r="D1927" s="1224"/>
    </row>
    <row r="1928" spans="1:4" x14ac:dyDescent="0.2">
      <c r="A1928" s="1164"/>
      <c r="B1928" s="1164"/>
      <c r="D1928" s="1224"/>
    </row>
    <row r="1929" spans="1:4" x14ac:dyDescent="0.2">
      <c r="A1929" s="1164"/>
      <c r="B1929" s="1164"/>
      <c r="D1929" s="1224"/>
    </row>
    <row r="1930" spans="1:4" x14ac:dyDescent="0.2">
      <c r="A1930" s="1164"/>
      <c r="B1930" s="1164"/>
      <c r="D1930" s="1224"/>
    </row>
    <row r="1931" spans="1:4" x14ac:dyDescent="0.2">
      <c r="A1931" s="1164"/>
      <c r="B1931" s="1164"/>
      <c r="D1931" s="1224"/>
    </row>
    <row r="1932" spans="1:4" x14ac:dyDescent="0.2">
      <c r="A1932" s="1164"/>
      <c r="B1932" s="1164"/>
      <c r="D1932" s="1224"/>
    </row>
    <row r="1933" spans="1:4" x14ac:dyDescent="0.2">
      <c r="A1933" s="1164"/>
      <c r="B1933" s="1164"/>
      <c r="D1933" s="1224"/>
    </row>
    <row r="1934" spans="1:4" x14ac:dyDescent="0.2">
      <c r="A1934" s="1164"/>
      <c r="B1934" s="1164"/>
      <c r="D1934" s="1224"/>
    </row>
    <row r="1935" spans="1:4" x14ac:dyDescent="0.2">
      <c r="A1935" s="1164"/>
      <c r="B1935" s="1164"/>
      <c r="D1935" s="1224"/>
    </row>
    <row r="1936" spans="1:4" x14ac:dyDescent="0.2">
      <c r="A1936" s="1164"/>
      <c r="B1936" s="1164"/>
      <c r="D1936" s="1224"/>
    </row>
    <row r="1937" spans="1:4" x14ac:dyDescent="0.2">
      <c r="A1937" s="1164"/>
      <c r="B1937" s="1164"/>
      <c r="D1937" s="1224"/>
    </row>
    <row r="1938" spans="1:4" x14ac:dyDescent="0.2">
      <c r="A1938" s="1164"/>
      <c r="B1938" s="1164"/>
      <c r="D1938" s="1224"/>
    </row>
    <row r="1939" spans="1:4" x14ac:dyDescent="0.2">
      <c r="A1939" s="1164"/>
      <c r="B1939" s="1164"/>
      <c r="D1939" s="1224"/>
    </row>
    <row r="1940" spans="1:4" x14ac:dyDescent="0.2">
      <c r="A1940" s="1164"/>
      <c r="B1940" s="1164"/>
      <c r="D1940" s="1224"/>
    </row>
    <row r="1941" spans="1:4" x14ac:dyDescent="0.2">
      <c r="A1941" s="1164"/>
      <c r="B1941" s="1164"/>
      <c r="D1941" s="1224"/>
    </row>
    <row r="1942" spans="1:4" x14ac:dyDescent="0.2">
      <c r="A1942" s="1164"/>
      <c r="B1942" s="1164"/>
      <c r="D1942" s="1224"/>
    </row>
    <row r="1943" spans="1:4" x14ac:dyDescent="0.2">
      <c r="A1943" s="1164"/>
      <c r="B1943" s="1164"/>
      <c r="D1943" s="1224"/>
    </row>
    <row r="1944" spans="1:4" x14ac:dyDescent="0.2">
      <c r="A1944" s="1164"/>
      <c r="B1944" s="1164"/>
      <c r="D1944" s="1224"/>
    </row>
    <row r="1945" spans="1:4" x14ac:dyDescent="0.2">
      <c r="A1945" s="1164"/>
      <c r="B1945" s="1164"/>
      <c r="D1945" s="1224"/>
    </row>
    <row r="1946" spans="1:4" x14ac:dyDescent="0.2">
      <c r="A1946" s="1164"/>
      <c r="B1946" s="1164"/>
      <c r="D1946" s="1224"/>
    </row>
    <row r="1947" spans="1:4" x14ac:dyDescent="0.2">
      <c r="A1947" s="1164"/>
      <c r="B1947" s="1164"/>
      <c r="D1947" s="1224"/>
    </row>
    <row r="1948" spans="1:4" x14ac:dyDescent="0.2">
      <c r="A1948" s="1164"/>
      <c r="B1948" s="1164"/>
      <c r="D1948" s="1224"/>
    </row>
    <row r="1949" spans="1:4" x14ac:dyDescent="0.2">
      <c r="A1949" s="1164"/>
      <c r="B1949" s="1164"/>
      <c r="D1949" s="1224"/>
    </row>
    <row r="1950" spans="1:4" x14ac:dyDescent="0.2">
      <c r="A1950" s="1164"/>
      <c r="B1950" s="1164"/>
      <c r="D1950" s="1224"/>
    </row>
    <row r="1951" spans="1:4" x14ac:dyDescent="0.2">
      <c r="A1951" s="1164"/>
      <c r="B1951" s="1164"/>
      <c r="D1951" s="1224"/>
    </row>
    <row r="1952" spans="1:4" x14ac:dyDescent="0.2">
      <c r="A1952" s="1164"/>
      <c r="B1952" s="1164"/>
      <c r="D1952" s="1224"/>
    </row>
    <row r="1953" spans="1:4" x14ac:dyDescent="0.2">
      <c r="A1953" s="1164"/>
      <c r="B1953" s="1164"/>
      <c r="D1953" s="1224"/>
    </row>
    <row r="1954" spans="1:4" x14ac:dyDescent="0.2">
      <c r="A1954" s="1164"/>
      <c r="B1954" s="1164"/>
      <c r="D1954" s="1224"/>
    </row>
    <row r="1955" spans="1:4" x14ac:dyDescent="0.2">
      <c r="A1955" s="1164"/>
      <c r="B1955" s="1164"/>
      <c r="D1955" s="1224"/>
    </row>
    <row r="1956" spans="1:4" x14ac:dyDescent="0.2">
      <c r="A1956" s="1164"/>
      <c r="B1956" s="1164"/>
      <c r="D1956" s="1224"/>
    </row>
    <row r="1957" spans="1:4" x14ac:dyDescent="0.2">
      <c r="A1957" s="1164"/>
      <c r="B1957" s="1164"/>
      <c r="D1957" s="1224"/>
    </row>
    <row r="1958" spans="1:4" x14ac:dyDescent="0.2">
      <c r="A1958" s="1164"/>
      <c r="B1958" s="1164"/>
      <c r="D1958" s="1224"/>
    </row>
    <row r="1959" spans="1:4" x14ac:dyDescent="0.2">
      <c r="A1959" s="1164"/>
      <c r="B1959" s="1164"/>
      <c r="D1959" s="1224"/>
    </row>
    <row r="1960" spans="1:4" x14ac:dyDescent="0.2">
      <c r="A1960" s="1164"/>
      <c r="B1960" s="1164"/>
      <c r="D1960" s="1224"/>
    </row>
    <row r="1961" spans="1:4" x14ac:dyDescent="0.2">
      <c r="A1961" s="1164"/>
      <c r="B1961" s="1164"/>
      <c r="D1961" s="1224"/>
    </row>
    <row r="1962" spans="1:4" x14ac:dyDescent="0.2">
      <c r="A1962" s="1164"/>
      <c r="B1962" s="1164"/>
      <c r="D1962" s="1224"/>
    </row>
    <row r="1963" spans="1:4" x14ac:dyDescent="0.2">
      <c r="A1963" s="1164"/>
      <c r="B1963" s="1164"/>
      <c r="D1963" s="1224"/>
    </row>
    <row r="1964" spans="1:4" x14ac:dyDescent="0.2">
      <c r="A1964" s="1164"/>
      <c r="B1964" s="1164"/>
      <c r="D1964" s="1224"/>
    </row>
    <row r="1965" spans="1:4" x14ac:dyDescent="0.2">
      <c r="A1965" s="1164"/>
      <c r="B1965" s="1164"/>
      <c r="D1965" s="1224"/>
    </row>
    <row r="1966" spans="1:4" x14ac:dyDescent="0.2">
      <c r="A1966" s="1164"/>
      <c r="B1966" s="1164"/>
      <c r="D1966" s="1224"/>
    </row>
    <row r="1967" spans="1:4" x14ac:dyDescent="0.2">
      <c r="A1967" s="1164"/>
      <c r="B1967" s="1164"/>
      <c r="D1967" s="1224"/>
    </row>
    <row r="1968" spans="1:4" x14ac:dyDescent="0.2">
      <c r="A1968" s="1164"/>
      <c r="B1968" s="1164"/>
      <c r="D1968" s="1224"/>
    </row>
    <row r="1969" spans="1:4" x14ac:dyDescent="0.2">
      <c r="A1969" s="1164"/>
      <c r="B1969" s="1164"/>
      <c r="D1969" s="1224"/>
    </row>
    <row r="1970" spans="1:4" x14ac:dyDescent="0.2">
      <c r="A1970" s="1164"/>
      <c r="B1970" s="1164"/>
      <c r="D1970" s="1224"/>
    </row>
    <row r="1971" spans="1:4" x14ac:dyDescent="0.2">
      <c r="A1971" s="1164"/>
      <c r="B1971" s="1164"/>
      <c r="D1971" s="1224"/>
    </row>
    <row r="1972" spans="1:4" x14ac:dyDescent="0.2">
      <c r="A1972" s="1164"/>
      <c r="B1972" s="1164"/>
      <c r="D1972" s="1224"/>
    </row>
    <row r="1973" spans="1:4" x14ac:dyDescent="0.2">
      <c r="A1973" s="1164"/>
      <c r="B1973" s="1164"/>
      <c r="D1973" s="1224"/>
    </row>
    <row r="1974" spans="1:4" x14ac:dyDescent="0.2">
      <c r="A1974" s="1164"/>
      <c r="B1974" s="1164"/>
      <c r="D1974" s="1224"/>
    </row>
    <row r="1975" spans="1:4" x14ac:dyDescent="0.2">
      <c r="A1975" s="1164"/>
      <c r="B1975" s="1164"/>
      <c r="D1975" s="1224"/>
    </row>
    <row r="1976" spans="1:4" x14ac:dyDescent="0.2">
      <c r="A1976" s="1164"/>
      <c r="B1976" s="1164"/>
      <c r="D1976" s="1224"/>
    </row>
    <row r="1977" spans="1:4" x14ac:dyDescent="0.2">
      <c r="A1977" s="1164"/>
      <c r="B1977" s="1164"/>
      <c r="D1977" s="1224"/>
    </row>
    <row r="1978" spans="1:4" x14ac:dyDescent="0.2">
      <c r="A1978" s="1164"/>
      <c r="B1978" s="1164"/>
      <c r="D1978" s="1224"/>
    </row>
    <row r="1979" spans="1:4" x14ac:dyDescent="0.2">
      <c r="A1979" s="1164"/>
      <c r="B1979" s="1164"/>
      <c r="D1979" s="1224"/>
    </row>
    <row r="1980" spans="1:4" x14ac:dyDescent="0.2">
      <c r="A1980" s="1164"/>
      <c r="B1980" s="1164"/>
      <c r="D1980" s="1224"/>
    </row>
    <row r="1981" spans="1:4" x14ac:dyDescent="0.2">
      <c r="A1981" s="1164"/>
      <c r="B1981" s="1164"/>
      <c r="D1981" s="1224"/>
    </row>
    <row r="1982" spans="1:4" x14ac:dyDescent="0.2">
      <c r="A1982" s="1164"/>
      <c r="B1982" s="1164"/>
      <c r="D1982" s="1224"/>
    </row>
    <row r="1983" spans="1:4" x14ac:dyDescent="0.2">
      <c r="A1983" s="1164"/>
      <c r="B1983" s="1164"/>
      <c r="D1983" s="1224"/>
    </row>
    <row r="1984" spans="1:4" x14ac:dyDescent="0.2">
      <c r="A1984" s="1164"/>
      <c r="B1984" s="1164"/>
      <c r="D1984" s="1224"/>
    </row>
    <row r="1985" spans="1:4" x14ac:dyDescent="0.2">
      <c r="A1985" s="1164"/>
      <c r="B1985" s="1164"/>
      <c r="D1985" s="1224"/>
    </row>
    <row r="1986" spans="1:4" x14ac:dyDescent="0.2">
      <c r="A1986" s="1164"/>
      <c r="B1986" s="1164"/>
      <c r="D1986" s="1224"/>
    </row>
    <row r="1987" spans="1:4" x14ac:dyDescent="0.2">
      <c r="A1987" s="1164"/>
      <c r="B1987" s="1164"/>
      <c r="D1987" s="1224"/>
    </row>
    <row r="1988" spans="1:4" x14ac:dyDescent="0.2">
      <c r="A1988" s="1164"/>
      <c r="B1988" s="1164"/>
      <c r="D1988" s="1224"/>
    </row>
    <row r="1989" spans="1:4" x14ac:dyDescent="0.2">
      <c r="A1989" s="1164"/>
      <c r="B1989" s="1164"/>
      <c r="D1989" s="1224"/>
    </row>
    <row r="1990" spans="1:4" x14ac:dyDescent="0.2">
      <c r="A1990" s="1164"/>
      <c r="B1990" s="1164"/>
      <c r="D1990" s="1224"/>
    </row>
    <row r="1991" spans="1:4" x14ac:dyDescent="0.2">
      <c r="A1991" s="1164"/>
      <c r="B1991" s="1164"/>
      <c r="D1991" s="1224"/>
    </row>
    <row r="1992" spans="1:4" x14ac:dyDescent="0.2">
      <c r="A1992" s="1164"/>
      <c r="B1992" s="1164"/>
      <c r="D1992" s="1224"/>
    </row>
    <row r="1993" spans="1:4" x14ac:dyDescent="0.2">
      <c r="A1993" s="1164"/>
      <c r="B1993" s="1164"/>
      <c r="D1993" s="1224"/>
    </row>
    <row r="1994" spans="1:4" x14ac:dyDescent="0.2">
      <c r="A1994" s="1164"/>
      <c r="B1994" s="1164"/>
      <c r="D1994" s="1224"/>
    </row>
    <row r="1995" spans="1:4" x14ac:dyDescent="0.2">
      <c r="A1995" s="1164"/>
      <c r="B1995" s="1164"/>
      <c r="D1995" s="1224"/>
    </row>
    <row r="1996" spans="1:4" x14ac:dyDescent="0.2">
      <c r="A1996" s="1164"/>
      <c r="B1996" s="1164"/>
      <c r="D1996" s="1224"/>
    </row>
    <row r="1997" spans="1:4" x14ac:dyDescent="0.2">
      <c r="A1997" s="1164"/>
      <c r="B1997" s="1164"/>
      <c r="D1997" s="1224"/>
    </row>
    <row r="1998" spans="1:4" x14ac:dyDescent="0.2">
      <c r="A1998" s="1164"/>
      <c r="B1998" s="1164"/>
      <c r="D1998" s="1224"/>
    </row>
    <row r="1999" spans="1:4" x14ac:dyDescent="0.2">
      <c r="A1999" s="1164"/>
      <c r="B1999" s="1164"/>
      <c r="D1999" s="1224"/>
    </row>
    <row r="2000" spans="1:4" x14ac:dyDescent="0.2">
      <c r="A2000" s="1164"/>
      <c r="B2000" s="1164"/>
      <c r="D2000" s="1224"/>
    </row>
    <row r="2001" spans="1:4" x14ac:dyDescent="0.2">
      <c r="A2001" s="1164"/>
      <c r="B2001" s="1164"/>
      <c r="D2001" s="1224"/>
    </row>
    <row r="2002" spans="1:4" x14ac:dyDescent="0.2">
      <c r="A2002" s="1164"/>
      <c r="B2002" s="1164"/>
      <c r="D2002" s="1224"/>
    </row>
    <row r="2003" spans="1:4" x14ac:dyDescent="0.2">
      <c r="A2003" s="1164"/>
      <c r="B2003" s="1164"/>
      <c r="D2003" s="1224"/>
    </row>
    <row r="2004" spans="1:4" x14ac:dyDescent="0.2">
      <c r="A2004" s="1164"/>
      <c r="B2004" s="1164"/>
      <c r="D2004" s="1224"/>
    </row>
    <row r="2005" spans="1:4" x14ac:dyDescent="0.2">
      <c r="A2005" s="1164"/>
      <c r="B2005" s="1164"/>
      <c r="D2005" s="1224"/>
    </row>
    <row r="2006" spans="1:4" x14ac:dyDescent="0.2">
      <c r="A2006" s="1164"/>
      <c r="B2006" s="1164"/>
      <c r="D2006" s="1224"/>
    </row>
    <row r="2007" spans="1:4" x14ac:dyDescent="0.2">
      <c r="A2007" s="1164"/>
      <c r="B2007" s="1164"/>
      <c r="D2007" s="1224"/>
    </row>
    <row r="2008" spans="1:4" x14ac:dyDescent="0.2">
      <c r="A2008" s="1164"/>
      <c r="B2008" s="1164"/>
      <c r="D2008" s="1224"/>
    </row>
    <row r="2009" spans="1:4" x14ac:dyDescent="0.2">
      <c r="A2009" s="1164"/>
      <c r="B2009" s="1164"/>
      <c r="D2009" s="1224"/>
    </row>
    <row r="2010" spans="1:4" x14ac:dyDescent="0.2">
      <c r="A2010" s="1164"/>
      <c r="B2010" s="1164"/>
      <c r="D2010" s="1224"/>
    </row>
    <row r="2011" spans="1:4" x14ac:dyDescent="0.2">
      <c r="A2011" s="1164"/>
      <c r="B2011" s="1164"/>
      <c r="D2011" s="1224"/>
    </row>
    <row r="2012" spans="1:4" x14ac:dyDescent="0.2">
      <c r="A2012" s="1164"/>
      <c r="B2012" s="1164"/>
      <c r="D2012" s="1224"/>
    </row>
    <row r="2013" spans="1:4" x14ac:dyDescent="0.2">
      <c r="A2013" s="1164"/>
      <c r="B2013" s="1164"/>
      <c r="D2013" s="1224"/>
    </row>
    <row r="2014" spans="1:4" x14ac:dyDescent="0.2">
      <c r="A2014" s="1164"/>
      <c r="B2014" s="1164"/>
      <c r="D2014" s="1224"/>
    </row>
    <row r="2015" spans="1:4" x14ac:dyDescent="0.2">
      <c r="A2015" s="1164"/>
      <c r="B2015" s="1164"/>
      <c r="D2015" s="1224"/>
    </row>
    <row r="2016" spans="1:4" x14ac:dyDescent="0.2">
      <c r="A2016" s="1164"/>
      <c r="B2016" s="1164"/>
      <c r="D2016" s="1224"/>
    </row>
    <row r="2017" spans="1:4" x14ac:dyDescent="0.2">
      <c r="A2017" s="1164"/>
      <c r="B2017" s="1164"/>
      <c r="D2017" s="1224"/>
    </row>
    <row r="2018" spans="1:4" x14ac:dyDescent="0.2">
      <c r="A2018" s="1164"/>
      <c r="B2018" s="1164"/>
      <c r="D2018" s="1224"/>
    </row>
    <row r="2019" spans="1:4" x14ac:dyDescent="0.2">
      <c r="A2019" s="1164"/>
      <c r="B2019" s="1164"/>
      <c r="D2019" s="1224"/>
    </row>
    <row r="2020" spans="1:4" x14ac:dyDescent="0.2">
      <c r="A2020" s="1164"/>
      <c r="B2020" s="1164"/>
      <c r="D2020" s="1224"/>
    </row>
    <row r="2021" spans="1:4" x14ac:dyDescent="0.2">
      <c r="A2021" s="1164"/>
      <c r="B2021" s="1164"/>
      <c r="D2021" s="1224"/>
    </row>
    <row r="2022" spans="1:4" x14ac:dyDescent="0.2">
      <c r="A2022" s="1164"/>
      <c r="B2022" s="1164"/>
      <c r="D2022" s="1224"/>
    </row>
    <row r="2023" spans="1:4" x14ac:dyDescent="0.2">
      <c r="A2023" s="1164"/>
      <c r="B2023" s="1164"/>
      <c r="D2023" s="1224"/>
    </row>
    <row r="2024" spans="1:4" x14ac:dyDescent="0.2">
      <c r="A2024" s="1164"/>
      <c r="B2024" s="1164"/>
      <c r="D2024" s="1224"/>
    </row>
    <row r="2025" spans="1:4" x14ac:dyDescent="0.2">
      <c r="A2025" s="1164"/>
      <c r="B2025" s="1164"/>
      <c r="D2025" s="1224"/>
    </row>
    <row r="2026" spans="1:4" x14ac:dyDescent="0.2">
      <c r="A2026" s="1164"/>
      <c r="B2026" s="1164"/>
      <c r="D2026" s="1224"/>
    </row>
    <row r="2027" spans="1:4" x14ac:dyDescent="0.2">
      <c r="A2027" s="1164"/>
      <c r="B2027" s="1164"/>
      <c r="D2027" s="1224"/>
    </row>
    <row r="2028" spans="1:4" x14ac:dyDescent="0.2">
      <c r="A2028" s="1164"/>
      <c r="B2028" s="1164"/>
      <c r="D2028" s="1224"/>
    </row>
    <row r="2029" spans="1:4" x14ac:dyDescent="0.2">
      <c r="A2029" s="1164"/>
      <c r="B2029" s="1164"/>
      <c r="D2029" s="1224"/>
    </row>
    <row r="2030" spans="1:4" x14ac:dyDescent="0.2">
      <c r="A2030" s="1164"/>
      <c r="B2030" s="1164"/>
      <c r="D2030" s="1224"/>
    </row>
    <row r="2031" spans="1:4" x14ac:dyDescent="0.2">
      <c r="A2031" s="1164"/>
      <c r="B2031" s="1164"/>
      <c r="D2031" s="1224"/>
    </row>
    <row r="2032" spans="1:4" x14ac:dyDescent="0.2">
      <c r="A2032" s="1164"/>
      <c r="B2032" s="1164"/>
      <c r="D2032" s="1224"/>
    </row>
    <row r="2033" spans="1:4" x14ac:dyDescent="0.2">
      <c r="A2033" s="1164"/>
      <c r="B2033" s="1164"/>
      <c r="D2033" s="1224"/>
    </row>
    <row r="2034" spans="1:4" x14ac:dyDescent="0.2">
      <c r="A2034" s="1164"/>
      <c r="B2034" s="1164"/>
      <c r="D2034" s="1224"/>
    </row>
    <row r="2035" spans="1:4" x14ac:dyDescent="0.2">
      <c r="A2035" s="1164"/>
      <c r="B2035" s="1164"/>
      <c r="D2035" s="1224"/>
    </row>
    <row r="2036" spans="1:4" x14ac:dyDescent="0.2">
      <c r="A2036" s="1164"/>
      <c r="B2036" s="1164"/>
      <c r="D2036" s="1224"/>
    </row>
    <row r="2037" spans="1:4" x14ac:dyDescent="0.2">
      <c r="A2037" s="1164"/>
      <c r="B2037" s="1164"/>
      <c r="D2037" s="1224"/>
    </row>
    <row r="2038" spans="1:4" x14ac:dyDescent="0.2">
      <c r="A2038" s="1164"/>
      <c r="B2038" s="1164"/>
      <c r="D2038" s="1224"/>
    </row>
    <row r="2039" spans="1:4" x14ac:dyDescent="0.2">
      <c r="A2039" s="1164"/>
      <c r="B2039" s="1164"/>
      <c r="D2039" s="1224"/>
    </row>
    <row r="2040" spans="1:4" x14ac:dyDescent="0.2">
      <c r="A2040" s="1164"/>
      <c r="B2040" s="1164"/>
      <c r="D2040" s="1224"/>
    </row>
    <row r="2041" spans="1:4" x14ac:dyDescent="0.2">
      <c r="A2041" s="1164"/>
      <c r="B2041" s="1164"/>
      <c r="D2041" s="1224"/>
    </row>
    <row r="2042" spans="1:4" x14ac:dyDescent="0.2">
      <c r="A2042" s="1164"/>
      <c r="B2042" s="1164"/>
      <c r="D2042" s="1224"/>
    </row>
    <row r="2043" spans="1:4" x14ac:dyDescent="0.2">
      <c r="A2043" s="1164"/>
      <c r="B2043" s="1164"/>
      <c r="D2043" s="1224"/>
    </row>
    <row r="2044" spans="1:4" x14ac:dyDescent="0.2">
      <c r="A2044" s="1164"/>
      <c r="B2044" s="1164"/>
      <c r="D2044" s="1224"/>
    </row>
    <row r="2045" spans="1:4" x14ac:dyDescent="0.2">
      <c r="A2045" s="1164"/>
      <c r="B2045" s="1164"/>
      <c r="D2045" s="1224"/>
    </row>
    <row r="2046" spans="1:4" x14ac:dyDescent="0.2">
      <c r="A2046" s="1164"/>
      <c r="B2046" s="1164"/>
      <c r="D2046" s="1224"/>
    </row>
    <row r="2047" spans="1:4" x14ac:dyDescent="0.2">
      <c r="A2047" s="1164"/>
      <c r="B2047" s="1164"/>
      <c r="D2047" s="1224"/>
    </row>
    <row r="2048" spans="1:4" x14ac:dyDescent="0.2">
      <c r="A2048" s="1164"/>
      <c r="B2048" s="1164"/>
      <c r="D2048" s="1224"/>
    </row>
    <row r="2049" spans="1:4" x14ac:dyDescent="0.2">
      <c r="A2049" s="1164"/>
      <c r="B2049" s="1164"/>
      <c r="D2049" s="1224"/>
    </row>
    <row r="2050" spans="1:4" x14ac:dyDescent="0.2">
      <c r="A2050" s="1164"/>
      <c r="B2050" s="1164"/>
      <c r="D2050" s="1224"/>
    </row>
    <row r="2051" spans="1:4" x14ac:dyDescent="0.2">
      <c r="A2051" s="1164"/>
      <c r="B2051" s="1164"/>
      <c r="D2051" s="1224"/>
    </row>
    <row r="2052" spans="1:4" x14ac:dyDescent="0.2">
      <c r="A2052" s="1164"/>
      <c r="B2052" s="1164"/>
      <c r="D2052" s="1224"/>
    </row>
    <row r="2053" spans="1:4" x14ac:dyDescent="0.2">
      <c r="A2053" s="1164"/>
      <c r="B2053" s="1164"/>
      <c r="D2053" s="1224"/>
    </row>
    <row r="2054" spans="1:4" x14ac:dyDescent="0.2">
      <c r="A2054" s="1164"/>
      <c r="B2054" s="1164"/>
      <c r="D2054" s="1224"/>
    </row>
    <row r="2055" spans="1:4" x14ac:dyDescent="0.2">
      <c r="A2055" s="1164"/>
      <c r="B2055" s="1164"/>
      <c r="D2055" s="1224"/>
    </row>
    <row r="2056" spans="1:4" x14ac:dyDescent="0.2">
      <c r="A2056" s="1164"/>
      <c r="B2056" s="1164"/>
      <c r="D2056" s="1224"/>
    </row>
    <row r="2057" spans="1:4" x14ac:dyDescent="0.2">
      <c r="A2057" s="1164"/>
      <c r="B2057" s="1164"/>
      <c r="D2057" s="1224"/>
    </row>
    <row r="2058" spans="1:4" x14ac:dyDescent="0.2">
      <c r="A2058" s="1164"/>
      <c r="B2058" s="1164"/>
      <c r="D2058" s="1224"/>
    </row>
    <row r="2059" spans="1:4" x14ac:dyDescent="0.2">
      <c r="A2059" s="1164"/>
      <c r="B2059" s="1164"/>
      <c r="D2059" s="1224"/>
    </row>
    <row r="2060" spans="1:4" x14ac:dyDescent="0.2">
      <c r="A2060" s="1164"/>
      <c r="B2060" s="1164"/>
      <c r="D2060" s="1224"/>
    </row>
    <row r="2061" spans="1:4" x14ac:dyDescent="0.2">
      <c r="A2061" s="1164"/>
      <c r="B2061" s="1164"/>
      <c r="D2061" s="1224"/>
    </row>
    <row r="2062" spans="1:4" x14ac:dyDescent="0.2">
      <c r="A2062" s="1164"/>
      <c r="B2062" s="1164"/>
      <c r="D2062" s="1224"/>
    </row>
    <row r="2063" spans="1:4" x14ac:dyDescent="0.2">
      <c r="A2063" s="1164"/>
      <c r="B2063" s="1164"/>
      <c r="D2063" s="1224"/>
    </row>
    <row r="2064" spans="1:4" x14ac:dyDescent="0.2">
      <c r="A2064" s="1164"/>
      <c r="B2064" s="1164"/>
      <c r="D2064" s="1224"/>
    </row>
    <row r="2065" spans="1:4" x14ac:dyDescent="0.2">
      <c r="A2065" s="1164"/>
      <c r="B2065" s="1164"/>
      <c r="D2065" s="1224"/>
    </row>
    <row r="2066" spans="1:4" x14ac:dyDescent="0.2">
      <c r="A2066" s="1164"/>
      <c r="B2066" s="1164"/>
      <c r="D2066" s="1224"/>
    </row>
    <row r="2067" spans="1:4" x14ac:dyDescent="0.2">
      <c r="A2067" s="1164"/>
      <c r="B2067" s="1164"/>
      <c r="D2067" s="1224"/>
    </row>
    <row r="2068" spans="1:4" x14ac:dyDescent="0.2">
      <c r="A2068" s="1164"/>
      <c r="B2068" s="1164"/>
      <c r="D2068" s="1224"/>
    </row>
    <row r="2069" spans="1:4" x14ac:dyDescent="0.2">
      <c r="A2069" s="1164"/>
      <c r="B2069" s="1164"/>
      <c r="D2069" s="1224"/>
    </row>
    <row r="2070" spans="1:4" x14ac:dyDescent="0.2">
      <c r="A2070" s="1164"/>
      <c r="B2070" s="1164"/>
      <c r="D2070" s="1224"/>
    </row>
    <row r="2071" spans="1:4" x14ac:dyDescent="0.2">
      <c r="A2071" s="1164"/>
      <c r="B2071" s="1164"/>
      <c r="D2071" s="1224"/>
    </row>
    <row r="2072" spans="1:4" x14ac:dyDescent="0.2">
      <c r="A2072" s="1164"/>
      <c r="B2072" s="1164"/>
      <c r="D2072" s="1224"/>
    </row>
    <row r="2073" spans="1:4" x14ac:dyDescent="0.2">
      <c r="A2073" s="1164"/>
      <c r="B2073" s="1164"/>
      <c r="D2073" s="1224"/>
    </row>
    <row r="2074" spans="1:4" x14ac:dyDescent="0.2">
      <c r="A2074" s="1164"/>
      <c r="B2074" s="1164"/>
      <c r="D2074" s="1224"/>
    </row>
    <row r="2075" spans="1:4" x14ac:dyDescent="0.2">
      <c r="A2075" s="1164"/>
      <c r="B2075" s="1164"/>
      <c r="D2075" s="1224"/>
    </row>
    <row r="2076" spans="1:4" x14ac:dyDescent="0.2">
      <c r="A2076" s="1164"/>
      <c r="B2076" s="1164"/>
      <c r="D2076" s="1224"/>
    </row>
    <row r="2077" spans="1:4" x14ac:dyDescent="0.2">
      <c r="A2077" s="1164"/>
      <c r="B2077" s="1164"/>
      <c r="D2077" s="1224"/>
    </row>
    <row r="2078" spans="1:4" x14ac:dyDescent="0.2">
      <c r="A2078" s="1164"/>
      <c r="B2078" s="1164"/>
      <c r="D2078" s="1224"/>
    </row>
    <row r="2079" spans="1:4" x14ac:dyDescent="0.2">
      <c r="A2079" s="1164"/>
      <c r="B2079" s="1164"/>
      <c r="D2079" s="1224"/>
    </row>
    <row r="2080" spans="1:4" x14ac:dyDescent="0.2">
      <c r="A2080" s="1164"/>
      <c r="B2080" s="1164"/>
      <c r="D2080" s="1224"/>
    </row>
    <row r="2081" spans="1:4" x14ac:dyDescent="0.2">
      <c r="A2081" s="1164"/>
      <c r="B2081" s="1164"/>
      <c r="D2081" s="1224"/>
    </row>
    <row r="2082" spans="1:4" x14ac:dyDescent="0.2">
      <c r="A2082" s="1164"/>
      <c r="B2082" s="1164"/>
      <c r="D2082" s="1224"/>
    </row>
    <row r="2083" spans="1:4" x14ac:dyDescent="0.2">
      <c r="A2083" s="1164"/>
      <c r="B2083" s="1164"/>
      <c r="D2083" s="1224"/>
    </row>
    <row r="2084" spans="1:4" x14ac:dyDescent="0.2">
      <c r="A2084" s="1164"/>
      <c r="B2084" s="1164"/>
      <c r="D2084" s="1224"/>
    </row>
    <row r="2085" spans="1:4" x14ac:dyDescent="0.2">
      <c r="A2085" s="1164"/>
      <c r="B2085" s="1164"/>
      <c r="D2085" s="1224"/>
    </row>
    <row r="2086" spans="1:4" x14ac:dyDescent="0.2">
      <c r="A2086" s="1164"/>
      <c r="B2086" s="1164"/>
      <c r="D2086" s="1224"/>
    </row>
    <row r="2087" spans="1:4" x14ac:dyDescent="0.2">
      <c r="A2087" s="1164"/>
      <c r="B2087" s="1164"/>
      <c r="D2087" s="1224"/>
    </row>
    <row r="2088" spans="1:4" x14ac:dyDescent="0.2">
      <c r="A2088" s="1164"/>
      <c r="B2088" s="1164"/>
      <c r="D2088" s="1224"/>
    </row>
    <row r="2089" spans="1:4" x14ac:dyDescent="0.2">
      <c r="A2089" s="1164"/>
      <c r="B2089" s="1164"/>
      <c r="D2089" s="1224"/>
    </row>
    <row r="2090" spans="1:4" x14ac:dyDescent="0.2">
      <c r="A2090" s="1164"/>
      <c r="B2090" s="1164"/>
      <c r="D2090" s="1224"/>
    </row>
    <row r="2091" spans="1:4" x14ac:dyDescent="0.2">
      <c r="A2091" s="1164"/>
      <c r="B2091" s="1164"/>
      <c r="D2091" s="1224"/>
    </row>
    <row r="2092" spans="1:4" x14ac:dyDescent="0.2">
      <c r="A2092" s="1164"/>
      <c r="B2092" s="1164"/>
      <c r="D2092" s="1224"/>
    </row>
    <row r="2093" spans="1:4" x14ac:dyDescent="0.2">
      <c r="A2093" s="1164"/>
      <c r="B2093" s="1164"/>
      <c r="D2093" s="1224"/>
    </row>
    <row r="2094" spans="1:4" x14ac:dyDescent="0.2">
      <c r="A2094" s="1164"/>
      <c r="B2094" s="1164"/>
      <c r="D2094" s="1224"/>
    </row>
    <row r="2095" spans="1:4" x14ac:dyDescent="0.2">
      <c r="A2095" s="1164"/>
      <c r="B2095" s="1164"/>
      <c r="D2095" s="1224"/>
    </row>
    <row r="2096" spans="1:4" x14ac:dyDescent="0.2">
      <c r="A2096" s="1164"/>
      <c r="B2096" s="1164"/>
      <c r="D2096" s="1224"/>
    </row>
    <row r="2097" spans="1:4" x14ac:dyDescent="0.2">
      <c r="A2097" s="1164"/>
      <c r="B2097" s="1164"/>
      <c r="D2097" s="1224"/>
    </row>
    <row r="2098" spans="1:4" x14ac:dyDescent="0.2">
      <c r="A2098" s="1164"/>
      <c r="B2098" s="1164"/>
      <c r="D2098" s="1224"/>
    </row>
    <row r="2099" spans="1:4" x14ac:dyDescent="0.2">
      <c r="A2099" s="1164"/>
      <c r="B2099" s="1164"/>
      <c r="D2099" s="1224"/>
    </row>
    <row r="2100" spans="1:4" x14ac:dyDescent="0.2">
      <c r="A2100" s="1164"/>
      <c r="B2100" s="1164"/>
      <c r="D2100" s="1224"/>
    </row>
    <row r="2101" spans="1:4" x14ac:dyDescent="0.2">
      <c r="A2101" s="1164"/>
      <c r="B2101" s="1164"/>
      <c r="D2101" s="1224"/>
    </row>
    <row r="2102" spans="1:4" x14ac:dyDescent="0.2">
      <c r="A2102" s="1164"/>
      <c r="B2102" s="1164"/>
      <c r="D2102" s="1224"/>
    </row>
    <row r="2103" spans="1:4" x14ac:dyDescent="0.2">
      <c r="A2103" s="1164"/>
      <c r="B2103" s="1164"/>
      <c r="D2103" s="1224"/>
    </row>
    <row r="2104" spans="1:4" x14ac:dyDescent="0.2">
      <c r="A2104" s="1164"/>
      <c r="B2104" s="1164"/>
      <c r="D2104" s="1224"/>
    </row>
    <row r="2105" spans="1:4" x14ac:dyDescent="0.2">
      <c r="A2105" s="1164"/>
      <c r="B2105" s="1164"/>
      <c r="D2105" s="1224"/>
    </row>
    <row r="2106" spans="1:4" x14ac:dyDescent="0.2">
      <c r="A2106" s="1164"/>
      <c r="B2106" s="1164"/>
      <c r="D2106" s="1224"/>
    </row>
    <row r="2107" spans="1:4" x14ac:dyDescent="0.2">
      <c r="A2107" s="1164"/>
      <c r="B2107" s="1164"/>
      <c r="D2107" s="1224"/>
    </row>
    <row r="2108" spans="1:4" x14ac:dyDescent="0.2">
      <c r="A2108" s="1164"/>
      <c r="B2108" s="1164"/>
      <c r="D2108" s="1224"/>
    </row>
    <row r="2109" spans="1:4" x14ac:dyDescent="0.2">
      <c r="A2109" s="1164"/>
      <c r="B2109" s="1164"/>
      <c r="D2109" s="1224"/>
    </row>
    <row r="2110" spans="1:4" x14ac:dyDescent="0.2">
      <c r="A2110" s="1164"/>
      <c r="B2110" s="1164"/>
      <c r="D2110" s="1224"/>
    </row>
    <row r="2111" spans="1:4" x14ac:dyDescent="0.2">
      <c r="A2111" s="1164"/>
      <c r="B2111" s="1164"/>
      <c r="D2111" s="1224"/>
    </row>
    <row r="2112" spans="1:4" x14ac:dyDescent="0.2">
      <c r="A2112" s="1164"/>
      <c r="B2112" s="1164"/>
      <c r="D2112" s="1224"/>
    </row>
    <row r="2113" spans="1:4" x14ac:dyDescent="0.2">
      <c r="A2113" s="1164"/>
      <c r="B2113" s="1164"/>
      <c r="D2113" s="1224"/>
    </row>
    <row r="2114" spans="1:4" x14ac:dyDescent="0.2">
      <c r="A2114" s="1164"/>
      <c r="B2114" s="1164"/>
      <c r="D2114" s="1224"/>
    </row>
    <row r="2115" spans="1:4" x14ac:dyDescent="0.2">
      <c r="A2115" s="1164"/>
      <c r="B2115" s="1164"/>
      <c r="D2115" s="1224"/>
    </row>
    <row r="2116" spans="1:4" x14ac:dyDescent="0.2">
      <c r="A2116" s="1164"/>
      <c r="B2116" s="1164"/>
      <c r="D2116" s="1224"/>
    </row>
    <row r="2117" spans="1:4" x14ac:dyDescent="0.2">
      <c r="A2117" s="1164"/>
      <c r="B2117" s="1164"/>
      <c r="D2117" s="1224"/>
    </row>
    <row r="2118" spans="1:4" x14ac:dyDescent="0.2">
      <c r="A2118" s="1164"/>
      <c r="B2118" s="1164"/>
      <c r="D2118" s="1224"/>
    </row>
    <row r="2119" spans="1:4" x14ac:dyDescent="0.2">
      <c r="A2119" s="1164"/>
      <c r="B2119" s="1164"/>
      <c r="D2119" s="1224"/>
    </row>
    <row r="2120" spans="1:4" x14ac:dyDescent="0.2">
      <c r="A2120" s="1164"/>
      <c r="B2120" s="1164"/>
      <c r="D2120" s="1224"/>
    </row>
    <row r="2121" spans="1:4" x14ac:dyDescent="0.2">
      <c r="A2121" s="1164"/>
      <c r="B2121" s="1164"/>
      <c r="D2121" s="1224"/>
    </row>
    <row r="2122" spans="1:4" x14ac:dyDescent="0.2">
      <c r="A2122" s="1164"/>
      <c r="B2122" s="1164"/>
      <c r="D2122" s="1224"/>
    </row>
    <row r="2123" spans="1:4" x14ac:dyDescent="0.2">
      <c r="A2123" s="1164"/>
      <c r="B2123" s="1164"/>
      <c r="D2123" s="1224"/>
    </row>
    <row r="2124" spans="1:4" x14ac:dyDescent="0.2">
      <c r="A2124" s="1164"/>
      <c r="B2124" s="1164"/>
      <c r="D2124" s="1224"/>
    </row>
    <row r="2125" spans="1:4" x14ac:dyDescent="0.2">
      <c r="A2125" s="1164"/>
      <c r="B2125" s="1164"/>
      <c r="D2125" s="1224"/>
    </row>
    <row r="2126" spans="1:4" x14ac:dyDescent="0.2">
      <c r="A2126" s="1164"/>
      <c r="B2126" s="1164"/>
      <c r="D2126" s="1224"/>
    </row>
    <row r="2127" spans="1:4" x14ac:dyDescent="0.2">
      <c r="A2127" s="1164"/>
      <c r="B2127" s="1164"/>
      <c r="D2127" s="1224"/>
    </row>
    <row r="2128" spans="1:4" x14ac:dyDescent="0.2">
      <c r="A2128" s="1164"/>
      <c r="B2128" s="1164"/>
      <c r="D2128" s="1224"/>
    </row>
    <row r="2129" spans="1:4" x14ac:dyDescent="0.2">
      <c r="A2129" s="1164"/>
      <c r="B2129" s="1164"/>
      <c r="D2129" s="1224"/>
    </row>
    <row r="2130" spans="1:4" x14ac:dyDescent="0.2">
      <c r="A2130" s="1164"/>
      <c r="B2130" s="1164"/>
      <c r="D2130" s="1224"/>
    </row>
    <row r="2131" spans="1:4" x14ac:dyDescent="0.2">
      <c r="A2131" s="1164"/>
      <c r="B2131" s="1164"/>
      <c r="D2131" s="1224"/>
    </row>
    <row r="2132" spans="1:4" x14ac:dyDescent="0.2">
      <c r="A2132" s="1164"/>
      <c r="B2132" s="1164"/>
      <c r="D2132" s="1224"/>
    </row>
    <row r="2133" spans="1:4" x14ac:dyDescent="0.2">
      <c r="A2133" s="1164"/>
      <c r="B2133" s="1164"/>
      <c r="D2133" s="1224"/>
    </row>
    <row r="2134" spans="1:4" x14ac:dyDescent="0.2">
      <c r="A2134" s="1164"/>
      <c r="B2134" s="1164"/>
      <c r="D2134" s="1224"/>
    </row>
    <row r="2135" spans="1:4" x14ac:dyDescent="0.2">
      <c r="A2135" s="1164"/>
      <c r="B2135" s="1164"/>
      <c r="D2135" s="1224"/>
    </row>
    <row r="2136" spans="1:4" x14ac:dyDescent="0.2">
      <c r="A2136" s="1164"/>
      <c r="B2136" s="1164"/>
      <c r="D2136" s="1224"/>
    </row>
    <row r="2137" spans="1:4" x14ac:dyDescent="0.2">
      <c r="A2137" s="1164"/>
      <c r="B2137" s="1164"/>
      <c r="D2137" s="1224"/>
    </row>
    <row r="2138" spans="1:4" x14ac:dyDescent="0.2">
      <c r="A2138" s="1164"/>
      <c r="B2138" s="1164"/>
      <c r="D2138" s="1224"/>
    </row>
    <row r="2139" spans="1:4" x14ac:dyDescent="0.2">
      <c r="A2139" s="1164"/>
      <c r="B2139" s="1164"/>
      <c r="D2139" s="1224"/>
    </row>
    <row r="2140" spans="1:4" x14ac:dyDescent="0.2">
      <c r="A2140" s="1164"/>
      <c r="B2140" s="1164"/>
      <c r="D2140" s="1224"/>
    </row>
    <row r="2141" spans="1:4" x14ac:dyDescent="0.2">
      <c r="A2141" s="1164"/>
      <c r="B2141" s="1164"/>
      <c r="D2141" s="1224"/>
    </row>
    <row r="2142" spans="1:4" x14ac:dyDescent="0.2">
      <c r="A2142" s="1164"/>
      <c r="B2142" s="1164"/>
      <c r="D2142" s="1224"/>
    </row>
    <row r="2143" spans="1:4" x14ac:dyDescent="0.2">
      <c r="A2143" s="1164"/>
      <c r="B2143" s="1164"/>
      <c r="D2143" s="1224"/>
    </row>
    <row r="2144" spans="1:4" x14ac:dyDescent="0.2">
      <c r="A2144" s="1164"/>
      <c r="B2144" s="1164"/>
      <c r="D2144" s="1224"/>
    </row>
    <row r="2145" spans="1:4" x14ac:dyDescent="0.2">
      <c r="A2145" s="1164"/>
      <c r="B2145" s="1164"/>
      <c r="D2145" s="1224"/>
    </row>
    <row r="2146" spans="1:4" x14ac:dyDescent="0.2">
      <c r="A2146" s="1164"/>
      <c r="B2146" s="1164"/>
      <c r="D2146" s="1224"/>
    </row>
    <row r="2147" spans="1:4" x14ac:dyDescent="0.2">
      <c r="A2147" s="1164"/>
      <c r="B2147" s="1164"/>
      <c r="D2147" s="1224"/>
    </row>
    <row r="2148" spans="1:4" x14ac:dyDescent="0.2">
      <c r="A2148" s="1164"/>
      <c r="B2148" s="1164"/>
      <c r="D2148" s="1224"/>
    </row>
    <row r="2149" spans="1:4" x14ac:dyDescent="0.2">
      <c r="A2149" s="1164"/>
      <c r="B2149" s="1164"/>
      <c r="D2149" s="1224"/>
    </row>
    <row r="2150" spans="1:4" x14ac:dyDescent="0.2">
      <c r="A2150" s="1164"/>
      <c r="B2150" s="1164"/>
      <c r="D2150" s="1224"/>
    </row>
    <row r="2151" spans="1:4" x14ac:dyDescent="0.2">
      <c r="A2151" s="1164"/>
      <c r="B2151" s="1164"/>
      <c r="D2151" s="1224"/>
    </row>
    <row r="2152" spans="1:4" x14ac:dyDescent="0.2">
      <c r="A2152" s="1164"/>
      <c r="B2152" s="1164"/>
      <c r="D2152" s="1224"/>
    </row>
    <row r="2153" spans="1:4" x14ac:dyDescent="0.2">
      <c r="A2153" s="1164"/>
      <c r="B2153" s="1164"/>
      <c r="D2153" s="1224"/>
    </row>
    <row r="2154" spans="1:4" x14ac:dyDescent="0.2">
      <c r="A2154" s="1164"/>
      <c r="B2154" s="1164"/>
      <c r="D2154" s="1224"/>
    </row>
    <row r="2155" spans="1:4" x14ac:dyDescent="0.2">
      <c r="A2155" s="1164"/>
      <c r="B2155" s="1164"/>
      <c r="D2155" s="1224"/>
    </row>
    <row r="2156" spans="1:4" x14ac:dyDescent="0.2">
      <c r="A2156" s="1164"/>
      <c r="B2156" s="1164"/>
      <c r="D2156" s="1224"/>
    </row>
    <row r="2157" spans="1:4" x14ac:dyDescent="0.2">
      <c r="A2157" s="1164"/>
      <c r="B2157" s="1164"/>
      <c r="D2157" s="1224"/>
    </row>
    <row r="2158" spans="1:4" x14ac:dyDescent="0.2">
      <c r="A2158" s="1164"/>
      <c r="B2158" s="1164"/>
      <c r="D2158" s="1224"/>
    </row>
    <row r="2159" spans="1:4" x14ac:dyDescent="0.2">
      <c r="A2159" s="1164"/>
      <c r="B2159" s="1164"/>
      <c r="D2159" s="1224"/>
    </row>
    <row r="2160" spans="1:4" x14ac:dyDescent="0.2">
      <c r="A2160" s="1164"/>
      <c r="B2160" s="1164"/>
      <c r="D2160" s="1224"/>
    </row>
    <row r="2161" spans="1:4" x14ac:dyDescent="0.2">
      <c r="A2161" s="1164"/>
      <c r="B2161" s="1164"/>
      <c r="D2161" s="1224"/>
    </row>
    <row r="2162" spans="1:4" x14ac:dyDescent="0.2">
      <c r="A2162" s="1164"/>
      <c r="B2162" s="1164"/>
      <c r="D2162" s="1224"/>
    </row>
    <row r="2163" spans="1:4" x14ac:dyDescent="0.2">
      <c r="A2163" s="1164"/>
      <c r="B2163" s="1164"/>
      <c r="D2163" s="1224"/>
    </row>
    <row r="2164" spans="1:4" x14ac:dyDescent="0.2">
      <c r="A2164" s="1164"/>
      <c r="B2164" s="1164"/>
      <c r="D2164" s="1224"/>
    </row>
    <row r="2165" spans="1:4" x14ac:dyDescent="0.2">
      <c r="A2165" s="1164"/>
      <c r="B2165" s="1164"/>
      <c r="D2165" s="1224"/>
    </row>
    <row r="2166" spans="1:4" x14ac:dyDescent="0.2">
      <c r="A2166" s="1164"/>
      <c r="B2166" s="1164"/>
      <c r="D2166" s="1224"/>
    </row>
    <row r="2167" spans="1:4" x14ac:dyDescent="0.2">
      <c r="A2167" s="1164"/>
      <c r="B2167" s="1164"/>
      <c r="D2167" s="1224"/>
    </row>
    <row r="2168" spans="1:4" x14ac:dyDescent="0.2">
      <c r="A2168" s="1164"/>
      <c r="B2168" s="1164"/>
      <c r="D2168" s="1224"/>
    </row>
    <row r="2169" spans="1:4" x14ac:dyDescent="0.2">
      <c r="A2169" s="1164"/>
      <c r="B2169" s="1164"/>
      <c r="D2169" s="1224"/>
    </row>
    <row r="2170" spans="1:4" x14ac:dyDescent="0.2">
      <c r="A2170" s="1164"/>
      <c r="B2170" s="1164"/>
      <c r="D2170" s="1224"/>
    </row>
    <row r="2171" spans="1:4" x14ac:dyDescent="0.2">
      <c r="A2171" s="1164"/>
      <c r="B2171" s="1164"/>
      <c r="D2171" s="1224"/>
    </row>
    <row r="2172" spans="1:4" x14ac:dyDescent="0.2">
      <c r="A2172" s="1164"/>
      <c r="B2172" s="1164"/>
      <c r="D2172" s="1224"/>
    </row>
    <row r="2173" spans="1:4" x14ac:dyDescent="0.2">
      <c r="A2173" s="1164"/>
      <c r="B2173" s="1164"/>
      <c r="D2173" s="1224"/>
    </row>
    <row r="2174" spans="1:4" x14ac:dyDescent="0.2">
      <c r="A2174" s="1164"/>
      <c r="B2174" s="1164"/>
      <c r="D2174" s="1224"/>
    </row>
    <row r="2175" spans="1:4" x14ac:dyDescent="0.2">
      <c r="A2175" s="1164"/>
      <c r="B2175" s="1164"/>
      <c r="D2175" s="1224"/>
    </row>
    <row r="2176" spans="1:4" x14ac:dyDescent="0.2">
      <c r="A2176" s="1164"/>
      <c r="B2176" s="1164"/>
      <c r="D2176" s="1224"/>
    </row>
    <row r="2177" spans="1:4" x14ac:dyDescent="0.2">
      <c r="A2177" s="1164"/>
      <c r="B2177" s="1164"/>
      <c r="D2177" s="1224"/>
    </row>
    <row r="2178" spans="1:4" x14ac:dyDescent="0.2">
      <c r="A2178" s="1164"/>
      <c r="B2178" s="1164"/>
      <c r="D2178" s="1224"/>
    </row>
    <row r="2179" spans="1:4" x14ac:dyDescent="0.2">
      <c r="A2179" s="1164"/>
      <c r="B2179" s="1164"/>
      <c r="D2179" s="1224"/>
    </row>
    <row r="2180" spans="1:4" x14ac:dyDescent="0.2">
      <c r="A2180" s="1164"/>
      <c r="B2180" s="1164"/>
      <c r="D2180" s="1224"/>
    </row>
    <row r="2181" spans="1:4" x14ac:dyDescent="0.2">
      <c r="A2181" s="1164"/>
      <c r="B2181" s="1164"/>
      <c r="D2181" s="1224"/>
    </row>
    <row r="2182" spans="1:4" x14ac:dyDescent="0.2">
      <c r="A2182" s="1164"/>
      <c r="B2182" s="1164"/>
      <c r="D2182" s="1224"/>
    </row>
    <row r="2183" spans="1:4" x14ac:dyDescent="0.2">
      <c r="A2183" s="1164"/>
      <c r="B2183" s="1164"/>
      <c r="D2183" s="1224"/>
    </row>
    <row r="2184" spans="1:4" x14ac:dyDescent="0.2">
      <c r="A2184" s="1164"/>
      <c r="B2184" s="1164"/>
      <c r="D2184" s="1224"/>
    </row>
    <row r="2185" spans="1:4" x14ac:dyDescent="0.2">
      <c r="A2185" s="1164"/>
      <c r="B2185" s="1164"/>
      <c r="D2185" s="1224"/>
    </row>
    <row r="2186" spans="1:4" x14ac:dyDescent="0.2">
      <c r="A2186" s="1164"/>
      <c r="B2186" s="1164"/>
      <c r="D2186" s="1224"/>
    </row>
    <row r="2187" spans="1:4" x14ac:dyDescent="0.2">
      <c r="A2187" s="1164"/>
      <c r="B2187" s="1164"/>
      <c r="D2187" s="1224"/>
    </row>
    <row r="2188" spans="1:4" x14ac:dyDescent="0.2">
      <c r="A2188" s="1164"/>
      <c r="B2188" s="1164"/>
      <c r="D2188" s="1224"/>
    </row>
    <row r="2189" spans="1:4" x14ac:dyDescent="0.2">
      <c r="A2189" s="1164"/>
      <c r="B2189" s="1164"/>
      <c r="D2189" s="1224"/>
    </row>
    <row r="2190" spans="1:4" x14ac:dyDescent="0.2">
      <c r="A2190" s="1164"/>
      <c r="B2190" s="1164"/>
      <c r="D2190" s="1224"/>
    </row>
    <row r="2191" spans="1:4" x14ac:dyDescent="0.2">
      <c r="A2191" s="1164"/>
      <c r="B2191" s="1164"/>
      <c r="D2191" s="1224"/>
    </row>
    <row r="2192" spans="1:4" x14ac:dyDescent="0.2">
      <c r="A2192" s="1164"/>
      <c r="B2192" s="1164"/>
      <c r="D2192" s="1224"/>
    </row>
    <row r="2193" spans="1:4" x14ac:dyDescent="0.2">
      <c r="A2193" s="1164"/>
      <c r="B2193" s="1164"/>
      <c r="D2193" s="1224"/>
    </row>
    <row r="2194" spans="1:4" x14ac:dyDescent="0.2">
      <c r="A2194" s="1164"/>
      <c r="B2194" s="1164"/>
      <c r="D2194" s="1224"/>
    </row>
    <row r="2195" spans="1:4" x14ac:dyDescent="0.2">
      <c r="A2195" s="1164"/>
      <c r="B2195" s="1164"/>
      <c r="D2195" s="1224"/>
    </row>
    <row r="2196" spans="1:4" x14ac:dyDescent="0.2">
      <c r="A2196" s="1164"/>
      <c r="B2196" s="1164"/>
      <c r="D2196" s="1224"/>
    </row>
    <row r="2197" spans="1:4" x14ac:dyDescent="0.2">
      <c r="A2197" s="1164"/>
      <c r="B2197" s="1164"/>
      <c r="D2197" s="1224"/>
    </row>
    <row r="2198" spans="1:4" x14ac:dyDescent="0.2">
      <c r="A2198" s="1164"/>
      <c r="B2198" s="1164"/>
      <c r="D2198" s="1224"/>
    </row>
    <row r="2199" spans="1:4" x14ac:dyDescent="0.2">
      <c r="A2199" s="1164"/>
      <c r="B2199" s="1164"/>
      <c r="D2199" s="1224"/>
    </row>
    <row r="2200" spans="1:4" x14ac:dyDescent="0.2">
      <c r="A2200" s="1164"/>
      <c r="B2200" s="1164"/>
      <c r="D2200" s="1224"/>
    </row>
    <row r="2201" spans="1:4" x14ac:dyDescent="0.2">
      <c r="A2201" s="1164"/>
      <c r="B2201" s="1164"/>
      <c r="D2201" s="1224"/>
    </row>
    <row r="2202" spans="1:4" x14ac:dyDescent="0.2">
      <c r="A2202" s="1164"/>
      <c r="B2202" s="1164"/>
      <c r="D2202" s="1224"/>
    </row>
    <row r="2203" spans="1:4" x14ac:dyDescent="0.2">
      <c r="A2203" s="1164"/>
      <c r="B2203" s="1164"/>
      <c r="D2203" s="1224"/>
    </row>
    <row r="2204" spans="1:4" x14ac:dyDescent="0.2">
      <c r="A2204" s="1164"/>
      <c r="B2204" s="1164"/>
      <c r="D2204" s="1224"/>
    </row>
    <row r="2205" spans="1:4" x14ac:dyDescent="0.2">
      <c r="A2205" s="1164"/>
      <c r="B2205" s="1164"/>
      <c r="D2205" s="1224"/>
    </row>
    <row r="2206" spans="1:4" x14ac:dyDescent="0.2">
      <c r="A2206" s="1164"/>
      <c r="B2206" s="1164"/>
      <c r="D2206" s="1224"/>
    </row>
    <row r="2207" spans="1:4" x14ac:dyDescent="0.2">
      <c r="A2207" s="1164"/>
      <c r="B2207" s="1164"/>
      <c r="D2207" s="1224"/>
    </row>
    <row r="2208" spans="1:4" x14ac:dyDescent="0.2">
      <c r="A2208" s="1164"/>
      <c r="B2208" s="1164"/>
      <c r="D2208" s="1224"/>
    </row>
    <row r="2209" spans="1:4" x14ac:dyDescent="0.2">
      <c r="A2209" s="1164"/>
      <c r="B2209" s="1164"/>
      <c r="D2209" s="1224"/>
    </row>
    <row r="2210" spans="1:4" x14ac:dyDescent="0.2">
      <c r="A2210" s="1164"/>
      <c r="B2210" s="1164"/>
      <c r="D2210" s="1224"/>
    </row>
    <row r="2211" spans="1:4" x14ac:dyDescent="0.2">
      <c r="A2211" s="1164"/>
      <c r="B2211" s="1164"/>
      <c r="D2211" s="1224"/>
    </row>
    <row r="2212" spans="1:4" x14ac:dyDescent="0.2">
      <c r="A2212" s="1164"/>
      <c r="B2212" s="1164"/>
      <c r="D2212" s="1224"/>
    </row>
    <row r="2213" spans="1:4" x14ac:dyDescent="0.2">
      <c r="A2213" s="1164"/>
      <c r="B2213" s="1164"/>
      <c r="D2213" s="1224"/>
    </row>
    <row r="2214" spans="1:4" x14ac:dyDescent="0.2">
      <c r="A2214" s="1164"/>
      <c r="B2214" s="1164"/>
      <c r="D2214" s="1224"/>
    </row>
    <row r="2215" spans="1:4" x14ac:dyDescent="0.2">
      <c r="A2215" s="1164"/>
      <c r="B2215" s="1164"/>
      <c r="D2215" s="1224"/>
    </row>
    <row r="2216" spans="1:4" x14ac:dyDescent="0.2">
      <c r="A2216" s="1164"/>
      <c r="B2216" s="1164"/>
      <c r="D2216" s="1224"/>
    </row>
    <row r="2217" spans="1:4" x14ac:dyDescent="0.2">
      <c r="A2217" s="1164"/>
      <c r="B2217" s="1164"/>
      <c r="D2217" s="1224"/>
    </row>
    <row r="2218" spans="1:4" x14ac:dyDescent="0.2">
      <c r="A2218" s="1164"/>
      <c r="B2218" s="1164"/>
      <c r="D2218" s="1224"/>
    </row>
    <row r="2219" spans="1:4" x14ac:dyDescent="0.2">
      <c r="A2219" s="1164"/>
      <c r="B2219" s="1164"/>
      <c r="D2219" s="1224"/>
    </row>
    <row r="2220" spans="1:4" x14ac:dyDescent="0.2">
      <c r="A2220" s="1164"/>
      <c r="B2220" s="1164"/>
      <c r="D2220" s="1224"/>
    </row>
    <row r="2221" spans="1:4" x14ac:dyDescent="0.2">
      <c r="A2221" s="1164"/>
      <c r="B2221" s="1164"/>
      <c r="D2221" s="1224"/>
    </row>
    <row r="2222" spans="1:4" x14ac:dyDescent="0.2">
      <c r="A2222" s="1164"/>
      <c r="B2222" s="1164"/>
      <c r="D2222" s="1224"/>
    </row>
    <row r="2223" spans="1:4" x14ac:dyDescent="0.2">
      <c r="A2223" s="1164"/>
      <c r="B2223" s="1164"/>
      <c r="D2223" s="1224"/>
    </row>
    <row r="2224" spans="1:4" x14ac:dyDescent="0.2">
      <c r="A2224" s="1164"/>
      <c r="B2224" s="1164"/>
      <c r="D2224" s="1224"/>
    </row>
    <row r="2225" spans="1:4" x14ac:dyDescent="0.2">
      <c r="A2225" s="1164"/>
      <c r="B2225" s="1164"/>
      <c r="D2225" s="1224"/>
    </row>
    <row r="2226" spans="1:4" x14ac:dyDescent="0.2">
      <c r="A2226" s="1164"/>
      <c r="B2226" s="1164"/>
      <c r="D2226" s="1224"/>
    </row>
    <row r="2227" spans="1:4" x14ac:dyDescent="0.2">
      <c r="A2227" s="1164"/>
      <c r="B2227" s="1164"/>
      <c r="D2227" s="1224"/>
    </row>
    <row r="2228" spans="1:4" x14ac:dyDescent="0.2">
      <c r="A2228" s="1164"/>
      <c r="B2228" s="1164"/>
      <c r="D2228" s="1224"/>
    </row>
    <row r="2229" spans="1:4" x14ac:dyDescent="0.2">
      <c r="A2229" s="1164"/>
      <c r="B2229" s="1164"/>
      <c r="D2229" s="1224"/>
    </row>
    <row r="2230" spans="1:4" x14ac:dyDescent="0.2">
      <c r="A2230" s="1164"/>
      <c r="B2230" s="1164"/>
      <c r="D2230" s="1224"/>
    </row>
    <row r="2231" spans="1:4" x14ac:dyDescent="0.2">
      <c r="A2231" s="1164"/>
      <c r="B2231" s="1164"/>
      <c r="D2231" s="1224"/>
    </row>
    <row r="2232" spans="1:4" x14ac:dyDescent="0.2">
      <c r="A2232" s="1164"/>
      <c r="B2232" s="1164"/>
      <c r="D2232" s="1224"/>
    </row>
    <row r="2233" spans="1:4" x14ac:dyDescent="0.2">
      <c r="A2233" s="1164"/>
      <c r="B2233" s="1164"/>
      <c r="D2233" s="1224"/>
    </row>
    <row r="2234" spans="1:4" x14ac:dyDescent="0.2">
      <c r="A2234" s="1164"/>
      <c r="B2234" s="1164"/>
      <c r="D2234" s="1224"/>
    </row>
    <row r="2235" spans="1:4" x14ac:dyDescent="0.2">
      <c r="A2235" s="1164"/>
      <c r="B2235" s="1164"/>
      <c r="D2235" s="1224"/>
    </row>
    <row r="2236" spans="1:4" x14ac:dyDescent="0.2">
      <c r="A2236" s="1164"/>
      <c r="B2236" s="1164"/>
      <c r="D2236" s="1224"/>
    </row>
    <row r="2237" spans="1:4" x14ac:dyDescent="0.2">
      <c r="A2237" s="1164"/>
      <c r="B2237" s="1164"/>
      <c r="D2237" s="1224"/>
    </row>
    <row r="2238" spans="1:4" x14ac:dyDescent="0.2">
      <c r="A2238" s="1164"/>
      <c r="B2238" s="1164"/>
      <c r="D2238" s="1224"/>
    </row>
    <row r="2239" spans="1:4" x14ac:dyDescent="0.2">
      <c r="A2239" s="1164"/>
      <c r="B2239" s="1164"/>
      <c r="D2239" s="1224"/>
    </row>
    <row r="2240" spans="1:4" x14ac:dyDescent="0.2">
      <c r="A2240" s="1164"/>
      <c r="B2240" s="1164"/>
      <c r="D2240" s="1224"/>
    </row>
    <row r="2241" spans="1:4" x14ac:dyDescent="0.2">
      <c r="A2241" s="1164"/>
      <c r="B2241" s="1164"/>
      <c r="D2241" s="1224"/>
    </row>
    <row r="2242" spans="1:4" x14ac:dyDescent="0.2">
      <c r="A2242" s="1164"/>
      <c r="B2242" s="1164"/>
      <c r="D2242" s="1224"/>
    </row>
    <row r="2243" spans="1:4" x14ac:dyDescent="0.2">
      <c r="A2243" s="1164"/>
      <c r="B2243" s="1164"/>
      <c r="D2243" s="1224"/>
    </row>
    <row r="2244" spans="1:4" x14ac:dyDescent="0.2">
      <c r="A2244" s="1164"/>
      <c r="B2244" s="1164"/>
      <c r="D2244" s="1224"/>
    </row>
    <row r="2245" spans="1:4" x14ac:dyDescent="0.2">
      <c r="A2245" s="1164"/>
      <c r="B2245" s="1164"/>
      <c r="D2245" s="1224"/>
    </row>
    <row r="2246" spans="1:4" x14ac:dyDescent="0.2">
      <c r="A2246" s="1164"/>
      <c r="B2246" s="1164"/>
      <c r="D2246" s="1224"/>
    </row>
    <row r="2247" spans="1:4" x14ac:dyDescent="0.2">
      <c r="A2247" s="1164"/>
      <c r="B2247" s="1164"/>
      <c r="D2247" s="1224"/>
    </row>
    <row r="2248" spans="1:4" x14ac:dyDescent="0.2">
      <c r="A2248" s="1164"/>
      <c r="B2248" s="1164"/>
      <c r="D2248" s="1224"/>
    </row>
    <row r="2249" spans="1:4" x14ac:dyDescent="0.2">
      <c r="A2249" s="1164"/>
      <c r="B2249" s="1164"/>
      <c r="D2249" s="1224"/>
    </row>
    <row r="2250" spans="1:4" x14ac:dyDescent="0.2">
      <c r="A2250" s="1164"/>
      <c r="B2250" s="1164"/>
      <c r="D2250" s="1224"/>
    </row>
    <row r="2251" spans="1:4" x14ac:dyDescent="0.2">
      <c r="A2251" s="1164"/>
      <c r="B2251" s="1164"/>
      <c r="D2251" s="1224"/>
    </row>
    <row r="2252" spans="1:4" x14ac:dyDescent="0.2">
      <c r="A2252" s="1164"/>
      <c r="B2252" s="1164"/>
      <c r="D2252" s="1224"/>
    </row>
    <row r="2253" spans="1:4" x14ac:dyDescent="0.2">
      <c r="A2253" s="1164"/>
      <c r="B2253" s="1164"/>
      <c r="D2253" s="1224"/>
    </row>
    <row r="2254" spans="1:4" x14ac:dyDescent="0.2">
      <c r="A2254" s="1164"/>
      <c r="B2254" s="1164"/>
      <c r="D2254" s="1224"/>
    </row>
    <row r="2255" spans="1:4" x14ac:dyDescent="0.2">
      <c r="A2255" s="1164"/>
      <c r="B2255" s="1164"/>
      <c r="D2255" s="1224"/>
    </row>
    <row r="2256" spans="1:4" x14ac:dyDescent="0.2">
      <c r="A2256" s="1164"/>
      <c r="B2256" s="1164"/>
      <c r="D2256" s="1224"/>
    </row>
    <row r="2257" spans="1:4" x14ac:dyDescent="0.2">
      <c r="A2257" s="1164"/>
      <c r="B2257" s="1164"/>
      <c r="D2257" s="1224"/>
    </row>
    <row r="2258" spans="1:4" x14ac:dyDescent="0.2">
      <c r="A2258" s="1164"/>
      <c r="B2258" s="1164"/>
      <c r="D2258" s="1224"/>
    </row>
    <row r="2259" spans="1:4" x14ac:dyDescent="0.2">
      <c r="A2259" s="1164"/>
      <c r="B2259" s="1164"/>
      <c r="D2259" s="1224"/>
    </row>
    <row r="2260" spans="1:4" x14ac:dyDescent="0.2">
      <c r="A2260" s="1164"/>
      <c r="B2260" s="1164"/>
      <c r="D2260" s="1224"/>
    </row>
    <row r="2261" spans="1:4" x14ac:dyDescent="0.2">
      <c r="A2261" s="1164"/>
      <c r="B2261" s="1164"/>
      <c r="D2261" s="1224"/>
    </row>
    <row r="2262" spans="1:4" x14ac:dyDescent="0.2">
      <c r="A2262" s="1164"/>
      <c r="B2262" s="1164"/>
      <c r="D2262" s="1224"/>
    </row>
    <row r="2263" spans="1:4" x14ac:dyDescent="0.2">
      <c r="A2263" s="1164"/>
      <c r="B2263" s="1164"/>
      <c r="D2263" s="1224"/>
    </row>
    <row r="2264" spans="1:4" x14ac:dyDescent="0.2">
      <c r="A2264" s="1164"/>
      <c r="B2264" s="1164"/>
      <c r="D2264" s="1224"/>
    </row>
    <row r="2265" spans="1:4" x14ac:dyDescent="0.2">
      <c r="A2265" s="1164"/>
      <c r="B2265" s="1164"/>
      <c r="D2265" s="1224"/>
    </row>
    <row r="2266" spans="1:4" x14ac:dyDescent="0.2">
      <c r="A2266" s="1164"/>
      <c r="B2266" s="1164"/>
      <c r="D2266" s="1224"/>
    </row>
    <row r="2267" spans="1:4" x14ac:dyDescent="0.2">
      <c r="A2267" s="1164"/>
      <c r="B2267" s="1164"/>
      <c r="D2267" s="1224"/>
    </row>
    <row r="2268" spans="1:4" x14ac:dyDescent="0.2">
      <c r="A2268" s="1164"/>
      <c r="B2268" s="1164"/>
      <c r="D2268" s="1224"/>
    </row>
    <row r="2269" spans="1:4" x14ac:dyDescent="0.2">
      <c r="A2269" s="1164"/>
      <c r="B2269" s="1164"/>
      <c r="D2269" s="1224"/>
    </row>
    <row r="2270" spans="1:4" x14ac:dyDescent="0.2">
      <c r="A2270" s="1164"/>
      <c r="B2270" s="1164"/>
      <c r="D2270" s="1224"/>
    </row>
    <row r="2271" spans="1:4" x14ac:dyDescent="0.2">
      <c r="A2271" s="1164"/>
      <c r="B2271" s="1164"/>
      <c r="D2271" s="1224"/>
    </row>
    <row r="2272" spans="1:4" x14ac:dyDescent="0.2">
      <c r="A2272" s="1164"/>
      <c r="B2272" s="1164"/>
      <c r="D2272" s="1224"/>
    </row>
    <row r="2273" spans="1:4" x14ac:dyDescent="0.2">
      <c r="A2273" s="1164"/>
      <c r="B2273" s="1164"/>
      <c r="D2273" s="1224"/>
    </row>
    <row r="2274" spans="1:4" x14ac:dyDescent="0.2">
      <c r="A2274" s="1164"/>
      <c r="B2274" s="1164"/>
      <c r="D2274" s="1224"/>
    </row>
    <row r="2275" spans="1:4" x14ac:dyDescent="0.2">
      <c r="A2275" s="1164"/>
      <c r="B2275" s="1164"/>
      <c r="D2275" s="1224"/>
    </row>
    <row r="2276" spans="1:4" x14ac:dyDescent="0.2">
      <c r="A2276" s="1164"/>
      <c r="B2276" s="1164"/>
      <c r="D2276" s="1224"/>
    </row>
    <row r="2277" spans="1:4" x14ac:dyDescent="0.2">
      <c r="A2277" s="1164"/>
      <c r="B2277" s="1164"/>
      <c r="D2277" s="1224"/>
    </row>
    <row r="2278" spans="1:4" x14ac:dyDescent="0.2">
      <c r="A2278" s="1164"/>
      <c r="B2278" s="1164"/>
      <c r="D2278" s="1224"/>
    </row>
    <row r="2279" spans="1:4" x14ac:dyDescent="0.2">
      <c r="A2279" s="1164"/>
      <c r="B2279" s="1164"/>
      <c r="D2279" s="1224"/>
    </row>
    <row r="2280" spans="1:4" x14ac:dyDescent="0.2">
      <c r="A2280" s="1164"/>
      <c r="B2280" s="1164"/>
      <c r="D2280" s="1224"/>
    </row>
    <row r="2281" spans="1:4" x14ac:dyDescent="0.2">
      <c r="A2281" s="1164"/>
      <c r="B2281" s="1164"/>
      <c r="D2281" s="1224"/>
    </row>
    <row r="2282" spans="1:4" x14ac:dyDescent="0.2">
      <c r="A2282" s="1164"/>
      <c r="B2282" s="1164"/>
      <c r="D2282" s="1224"/>
    </row>
    <row r="2283" spans="1:4" x14ac:dyDescent="0.2">
      <c r="A2283" s="1164"/>
      <c r="B2283" s="1164"/>
      <c r="D2283" s="1224"/>
    </row>
    <row r="2284" spans="1:4" x14ac:dyDescent="0.2">
      <c r="A2284" s="1164"/>
      <c r="B2284" s="1164"/>
      <c r="D2284" s="1224"/>
    </row>
    <row r="2285" spans="1:4" x14ac:dyDescent="0.2">
      <c r="A2285" s="1164"/>
      <c r="B2285" s="1164"/>
      <c r="D2285" s="1224"/>
    </row>
    <row r="2286" spans="1:4" x14ac:dyDescent="0.2">
      <c r="A2286" s="1164"/>
      <c r="B2286" s="1164"/>
      <c r="D2286" s="1224"/>
    </row>
    <row r="2287" spans="1:4" x14ac:dyDescent="0.2">
      <c r="A2287" s="1164"/>
      <c r="B2287" s="1164"/>
      <c r="D2287" s="1224"/>
    </row>
    <row r="2288" spans="1:4" x14ac:dyDescent="0.2">
      <c r="A2288" s="1164"/>
      <c r="B2288" s="1164"/>
      <c r="D2288" s="1224"/>
    </row>
    <row r="2289" spans="1:4" x14ac:dyDescent="0.2">
      <c r="A2289" s="1164"/>
      <c r="B2289" s="1164"/>
      <c r="D2289" s="1224"/>
    </row>
    <row r="2290" spans="1:4" x14ac:dyDescent="0.2">
      <c r="A2290" s="1164"/>
      <c r="B2290" s="1164"/>
      <c r="D2290" s="1224"/>
    </row>
    <row r="2291" spans="1:4" x14ac:dyDescent="0.2">
      <c r="A2291" s="1164"/>
      <c r="B2291" s="1164"/>
      <c r="D2291" s="1224"/>
    </row>
    <row r="2292" spans="1:4" x14ac:dyDescent="0.2">
      <c r="A2292" s="1164"/>
      <c r="B2292" s="1164"/>
      <c r="D2292" s="1224"/>
    </row>
    <row r="2293" spans="1:4" x14ac:dyDescent="0.2">
      <c r="A2293" s="1164"/>
      <c r="B2293" s="1164"/>
      <c r="D2293" s="1224"/>
    </row>
    <row r="2294" spans="1:4" x14ac:dyDescent="0.2">
      <c r="A2294" s="1164"/>
      <c r="B2294" s="1164"/>
      <c r="D2294" s="1224"/>
    </row>
    <row r="2295" spans="1:4" x14ac:dyDescent="0.2">
      <c r="A2295" s="1164"/>
      <c r="B2295" s="1164"/>
      <c r="D2295" s="1224"/>
    </row>
    <row r="2296" spans="1:4" x14ac:dyDescent="0.2">
      <c r="A2296" s="1164"/>
      <c r="B2296" s="1164"/>
      <c r="D2296" s="1224"/>
    </row>
    <row r="2297" spans="1:4" x14ac:dyDescent="0.2">
      <c r="A2297" s="1164"/>
      <c r="B2297" s="1164"/>
      <c r="D2297" s="1224"/>
    </row>
    <row r="2298" spans="1:4" x14ac:dyDescent="0.2">
      <c r="A2298" s="1164"/>
      <c r="B2298" s="1164"/>
      <c r="D2298" s="1224"/>
    </row>
    <row r="2299" spans="1:4" x14ac:dyDescent="0.2">
      <c r="A2299" s="1164"/>
      <c r="B2299" s="1164"/>
      <c r="D2299" s="1224"/>
    </row>
    <row r="2300" spans="1:4" x14ac:dyDescent="0.2">
      <c r="A2300" s="1164"/>
      <c r="B2300" s="1164"/>
      <c r="D2300" s="1224"/>
    </row>
    <row r="2301" spans="1:4" x14ac:dyDescent="0.2">
      <c r="A2301" s="1164"/>
      <c r="B2301" s="1164"/>
      <c r="D2301" s="1224"/>
    </row>
    <row r="2302" spans="1:4" x14ac:dyDescent="0.2">
      <c r="A2302" s="1164"/>
      <c r="B2302" s="1164"/>
      <c r="D2302" s="1224"/>
    </row>
    <row r="2303" spans="1:4" x14ac:dyDescent="0.2">
      <c r="A2303" s="1164"/>
      <c r="B2303" s="1164"/>
      <c r="D2303" s="1224"/>
    </row>
    <row r="2304" spans="1:4" x14ac:dyDescent="0.2">
      <c r="A2304" s="1164"/>
      <c r="B2304" s="1164"/>
      <c r="D2304" s="1224"/>
    </row>
    <row r="2305" spans="1:4" x14ac:dyDescent="0.2">
      <c r="A2305" s="1164"/>
      <c r="B2305" s="1164"/>
      <c r="D2305" s="1224"/>
    </row>
    <row r="2306" spans="1:4" x14ac:dyDescent="0.2">
      <c r="A2306" s="1164"/>
      <c r="B2306" s="1164"/>
      <c r="D2306" s="1224"/>
    </row>
    <row r="2307" spans="1:4" x14ac:dyDescent="0.2">
      <c r="A2307" s="1164"/>
      <c r="B2307" s="1164"/>
      <c r="D2307" s="1224"/>
    </row>
    <row r="2308" spans="1:4" x14ac:dyDescent="0.2">
      <c r="A2308" s="1164"/>
      <c r="B2308" s="1164"/>
      <c r="D2308" s="1224"/>
    </row>
    <row r="2309" spans="1:4" x14ac:dyDescent="0.2">
      <c r="A2309" s="1164"/>
      <c r="B2309" s="1164"/>
      <c r="D2309" s="1224"/>
    </row>
    <row r="2310" spans="1:4" x14ac:dyDescent="0.2">
      <c r="A2310" s="1164"/>
      <c r="B2310" s="1164"/>
      <c r="D2310" s="1224"/>
    </row>
    <row r="2311" spans="1:4" x14ac:dyDescent="0.2">
      <c r="A2311" s="1164"/>
      <c r="B2311" s="1164"/>
      <c r="D2311" s="1224"/>
    </row>
    <row r="2312" spans="1:4" x14ac:dyDescent="0.2">
      <c r="A2312" s="1164"/>
      <c r="B2312" s="1164"/>
      <c r="D2312" s="1224"/>
    </row>
    <row r="2313" spans="1:4" x14ac:dyDescent="0.2">
      <c r="A2313" s="1164"/>
      <c r="B2313" s="1164"/>
      <c r="D2313" s="1224"/>
    </row>
    <row r="2314" spans="1:4" x14ac:dyDescent="0.2">
      <c r="A2314" s="1164"/>
      <c r="B2314" s="1164"/>
      <c r="D2314" s="1224"/>
    </row>
    <row r="2315" spans="1:4" x14ac:dyDescent="0.2">
      <c r="A2315" s="1164"/>
      <c r="B2315" s="1164"/>
      <c r="D2315" s="1224"/>
    </row>
    <row r="2316" spans="1:4" x14ac:dyDescent="0.2">
      <c r="A2316" s="1164"/>
      <c r="B2316" s="1164"/>
      <c r="D2316" s="1224"/>
    </row>
    <row r="2317" spans="1:4" x14ac:dyDescent="0.2">
      <c r="A2317" s="1164"/>
      <c r="B2317" s="1164"/>
      <c r="D2317" s="1224"/>
    </row>
    <row r="2318" spans="1:4" x14ac:dyDescent="0.2">
      <c r="A2318" s="1164"/>
      <c r="B2318" s="1164"/>
      <c r="D2318" s="1224"/>
    </row>
    <row r="2319" spans="1:4" x14ac:dyDescent="0.2">
      <c r="A2319" s="1164"/>
      <c r="B2319" s="1164"/>
      <c r="D2319" s="1224"/>
    </row>
    <row r="2320" spans="1:4" x14ac:dyDescent="0.2">
      <c r="A2320" s="1164"/>
      <c r="B2320" s="1164"/>
      <c r="D2320" s="1224"/>
    </row>
    <row r="2321" spans="1:4" x14ac:dyDescent="0.2">
      <c r="A2321" s="1164"/>
      <c r="B2321" s="1164"/>
      <c r="D2321" s="1224"/>
    </row>
    <row r="2322" spans="1:4" x14ac:dyDescent="0.2">
      <c r="A2322" s="1164"/>
      <c r="B2322" s="1164"/>
      <c r="D2322" s="1224"/>
    </row>
    <row r="2323" spans="1:4" x14ac:dyDescent="0.2">
      <c r="A2323" s="1164"/>
      <c r="B2323" s="1164"/>
      <c r="D2323" s="1224"/>
    </row>
    <row r="2324" spans="1:4" x14ac:dyDescent="0.2">
      <c r="A2324" s="1164"/>
      <c r="B2324" s="1164"/>
      <c r="D2324" s="1224"/>
    </row>
    <row r="2325" spans="1:4" x14ac:dyDescent="0.2">
      <c r="A2325" s="1164"/>
      <c r="B2325" s="1164"/>
      <c r="D2325" s="1224"/>
    </row>
    <row r="2326" spans="1:4" x14ac:dyDescent="0.2">
      <c r="A2326" s="1164"/>
      <c r="B2326" s="1164"/>
      <c r="D2326" s="1224"/>
    </row>
    <row r="2327" spans="1:4" x14ac:dyDescent="0.2">
      <c r="A2327" s="1164"/>
      <c r="B2327" s="1164"/>
      <c r="D2327" s="1224"/>
    </row>
    <row r="2328" spans="1:4" x14ac:dyDescent="0.2">
      <c r="A2328" s="1164"/>
      <c r="B2328" s="1164"/>
      <c r="D2328" s="1224"/>
    </row>
    <row r="2329" spans="1:4" x14ac:dyDescent="0.2">
      <c r="A2329" s="1164"/>
      <c r="B2329" s="1164"/>
      <c r="D2329" s="1224"/>
    </row>
    <row r="2330" spans="1:4" x14ac:dyDescent="0.2">
      <c r="A2330" s="1164"/>
      <c r="B2330" s="1164"/>
      <c r="D2330" s="1224"/>
    </row>
    <row r="2331" spans="1:4" x14ac:dyDescent="0.2">
      <c r="A2331" s="1164"/>
      <c r="B2331" s="1164"/>
      <c r="D2331" s="1224"/>
    </row>
    <row r="2332" spans="1:4" x14ac:dyDescent="0.2">
      <c r="A2332" s="1164"/>
      <c r="B2332" s="1164"/>
      <c r="D2332" s="1224"/>
    </row>
    <row r="2333" spans="1:4" x14ac:dyDescent="0.2">
      <c r="A2333" s="1164"/>
      <c r="B2333" s="1164"/>
      <c r="D2333" s="1224"/>
    </row>
    <row r="2334" spans="1:4" x14ac:dyDescent="0.2">
      <c r="A2334" s="1164"/>
      <c r="B2334" s="1164"/>
      <c r="D2334" s="1224"/>
    </row>
    <row r="2335" spans="1:4" x14ac:dyDescent="0.2">
      <c r="A2335" s="1164"/>
      <c r="B2335" s="1164"/>
      <c r="D2335" s="1224"/>
    </row>
    <row r="2336" spans="1:4" x14ac:dyDescent="0.2">
      <c r="A2336" s="1164"/>
      <c r="B2336" s="1164"/>
      <c r="D2336" s="1224"/>
    </row>
    <row r="2337" spans="1:4" x14ac:dyDescent="0.2">
      <c r="A2337" s="1164"/>
      <c r="B2337" s="1164"/>
      <c r="D2337" s="1224"/>
    </row>
    <row r="2338" spans="1:4" x14ac:dyDescent="0.2">
      <c r="A2338" s="1164"/>
      <c r="B2338" s="1164"/>
      <c r="D2338" s="1224"/>
    </row>
    <row r="2339" spans="1:4" x14ac:dyDescent="0.2">
      <c r="A2339" s="1164"/>
      <c r="B2339" s="1164"/>
      <c r="D2339" s="1224"/>
    </row>
    <row r="2340" spans="1:4" x14ac:dyDescent="0.2">
      <c r="A2340" s="1164"/>
      <c r="B2340" s="1164"/>
      <c r="D2340" s="1224"/>
    </row>
    <row r="2341" spans="1:4" x14ac:dyDescent="0.2">
      <c r="A2341" s="1164"/>
      <c r="B2341" s="1164"/>
      <c r="D2341" s="1224"/>
    </row>
    <row r="2342" spans="1:4" x14ac:dyDescent="0.2">
      <c r="A2342" s="1164"/>
      <c r="B2342" s="1164"/>
      <c r="D2342" s="1224"/>
    </row>
    <row r="2343" spans="1:4" x14ac:dyDescent="0.2">
      <c r="A2343" s="1164"/>
      <c r="B2343" s="1164"/>
      <c r="D2343" s="1224"/>
    </row>
    <row r="2344" spans="1:4" x14ac:dyDescent="0.2">
      <c r="A2344" s="1164"/>
      <c r="B2344" s="1164"/>
      <c r="D2344" s="1224"/>
    </row>
    <row r="2345" spans="1:4" x14ac:dyDescent="0.2">
      <c r="A2345" s="1164"/>
      <c r="B2345" s="1164"/>
      <c r="D2345" s="1224"/>
    </row>
    <row r="2346" spans="1:4" x14ac:dyDescent="0.2">
      <c r="A2346" s="1164"/>
      <c r="B2346" s="1164"/>
      <c r="D2346" s="1224"/>
    </row>
    <row r="2347" spans="1:4" x14ac:dyDescent="0.2">
      <c r="A2347" s="1164"/>
      <c r="B2347" s="1164"/>
      <c r="D2347" s="1224"/>
    </row>
    <row r="2348" spans="1:4" x14ac:dyDescent="0.2">
      <c r="A2348" s="1164"/>
      <c r="B2348" s="1164"/>
      <c r="D2348" s="1224"/>
    </row>
    <row r="2349" spans="1:4" x14ac:dyDescent="0.2">
      <c r="A2349" s="1164"/>
      <c r="B2349" s="1164"/>
      <c r="D2349" s="1224"/>
    </row>
    <row r="2350" spans="1:4" x14ac:dyDescent="0.2">
      <c r="A2350" s="1164"/>
      <c r="B2350" s="1164"/>
      <c r="D2350" s="1224"/>
    </row>
    <row r="2351" spans="1:4" x14ac:dyDescent="0.2">
      <c r="A2351" s="1164"/>
      <c r="B2351" s="1164"/>
      <c r="D2351" s="1224"/>
    </row>
    <row r="2352" spans="1:4" x14ac:dyDescent="0.2">
      <c r="A2352" s="1164"/>
      <c r="B2352" s="1164"/>
      <c r="D2352" s="1224"/>
    </row>
    <row r="2353" spans="1:4" x14ac:dyDescent="0.2">
      <c r="A2353" s="1164"/>
      <c r="B2353" s="1164"/>
      <c r="D2353" s="1224"/>
    </row>
    <row r="2354" spans="1:4" x14ac:dyDescent="0.2">
      <c r="A2354" s="1164"/>
      <c r="B2354" s="1164"/>
      <c r="D2354" s="1224"/>
    </row>
    <row r="2355" spans="1:4" x14ac:dyDescent="0.2">
      <c r="A2355" s="1164"/>
      <c r="B2355" s="1164"/>
      <c r="D2355" s="1224"/>
    </row>
    <row r="2356" spans="1:4" x14ac:dyDescent="0.2">
      <c r="A2356" s="1164"/>
      <c r="B2356" s="1164"/>
      <c r="D2356" s="1224"/>
    </row>
    <row r="2357" spans="1:4" x14ac:dyDescent="0.2">
      <c r="A2357" s="1164"/>
      <c r="B2357" s="1164"/>
      <c r="D2357" s="1224"/>
    </row>
    <row r="2358" spans="1:4" x14ac:dyDescent="0.2">
      <c r="A2358" s="1164"/>
      <c r="B2358" s="1164"/>
      <c r="D2358" s="1224"/>
    </row>
    <row r="2359" spans="1:4" x14ac:dyDescent="0.2">
      <c r="A2359" s="1164"/>
      <c r="B2359" s="1164"/>
      <c r="D2359" s="1224"/>
    </row>
    <row r="2360" spans="1:4" x14ac:dyDescent="0.2">
      <c r="A2360" s="1164"/>
      <c r="B2360" s="1164"/>
      <c r="D2360" s="1224"/>
    </row>
    <row r="2361" spans="1:4" x14ac:dyDescent="0.2">
      <c r="A2361" s="1164"/>
      <c r="B2361" s="1164"/>
      <c r="D2361" s="1224"/>
    </row>
    <row r="2362" spans="1:4" x14ac:dyDescent="0.2">
      <c r="A2362" s="1164"/>
      <c r="B2362" s="1164"/>
      <c r="D2362" s="1224"/>
    </row>
    <row r="2363" spans="1:4" x14ac:dyDescent="0.2">
      <c r="A2363" s="1164"/>
      <c r="B2363" s="1164"/>
      <c r="D2363" s="1224"/>
    </row>
    <row r="2364" spans="1:4" x14ac:dyDescent="0.2">
      <c r="A2364" s="1164"/>
      <c r="B2364" s="1164"/>
      <c r="D2364" s="1224"/>
    </row>
    <row r="2365" spans="1:4" x14ac:dyDescent="0.2">
      <c r="A2365" s="1164"/>
      <c r="B2365" s="1164"/>
      <c r="D2365" s="1224"/>
    </row>
    <row r="2366" spans="1:4" x14ac:dyDescent="0.2">
      <c r="A2366" s="1164"/>
      <c r="B2366" s="1164"/>
      <c r="D2366" s="1224"/>
    </row>
    <row r="2367" spans="1:4" x14ac:dyDescent="0.2">
      <c r="A2367" s="1164"/>
      <c r="B2367" s="1164"/>
      <c r="D2367" s="1224"/>
    </row>
    <row r="2368" spans="1:4" x14ac:dyDescent="0.2">
      <c r="A2368" s="1164"/>
      <c r="B2368" s="1164"/>
      <c r="D2368" s="1224"/>
    </row>
    <row r="2369" spans="1:4" x14ac:dyDescent="0.2">
      <c r="A2369" s="1164"/>
      <c r="B2369" s="1164"/>
      <c r="D2369" s="1224"/>
    </row>
    <row r="2370" spans="1:4" x14ac:dyDescent="0.2">
      <c r="A2370" s="1164"/>
      <c r="B2370" s="1164"/>
      <c r="D2370" s="1224"/>
    </row>
    <row r="2371" spans="1:4" x14ac:dyDescent="0.2">
      <c r="A2371" s="1164"/>
      <c r="B2371" s="1164"/>
      <c r="D2371" s="1224"/>
    </row>
    <row r="2372" spans="1:4" x14ac:dyDescent="0.2">
      <c r="A2372" s="1164"/>
      <c r="B2372" s="1164"/>
      <c r="D2372" s="1224"/>
    </row>
    <row r="2373" spans="1:4" x14ac:dyDescent="0.2">
      <c r="A2373" s="1164"/>
      <c r="B2373" s="1164"/>
      <c r="D2373" s="1224"/>
    </row>
    <row r="2374" spans="1:4" x14ac:dyDescent="0.2">
      <c r="A2374" s="1164"/>
      <c r="B2374" s="1164"/>
      <c r="D2374" s="1224"/>
    </row>
    <row r="2375" spans="1:4" x14ac:dyDescent="0.2">
      <c r="A2375" s="1164"/>
      <c r="B2375" s="1164"/>
      <c r="D2375" s="1224"/>
    </row>
    <row r="2376" spans="1:4" x14ac:dyDescent="0.2">
      <c r="A2376" s="1164"/>
      <c r="B2376" s="1164"/>
      <c r="D2376" s="1224"/>
    </row>
    <row r="2377" spans="1:4" x14ac:dyDescent="0.2">
      <c r="A2377" s="1164"/>
      <c r="B2377" s="1164"/>
      <c r="D2377" s="1224"/>
    </row>
    <row r="2378" spans="1:4" x14ac:dyDescent="0.2">
      <c r="A2378" s="1164"/>
      <c r="B2378" s="1164"/>
      <c r="D2378" s="1224"/>
    </row>
    <row r="2379" spans="1:4" x14ac:dyDescent="0.2">
      <c r="A2379" s="1164"/>
      <c r="B2379" s="1164"/>
      <c r="D2379" s="1224"/>
    </row>
    <row r="2380" spans="1:4" x14ac:dyDescent="0.2">
      <c r="A2380" s="1164"/>
      <c r="B2380" s="1164"/>
      <c r="D2380" s="1224"/>
    </row>
    <row r="2381" spans="1:4" x14ac:dyDescent="0.2">
      <c r="A2381" s="1164"/>
      <c r="B2381" s="1164"/>
      <c r="D2381" s="1224"/>
    </row>
    <row r="2382" spans="1:4" x14ac:dyDescent="0.2">
      <c r="A2382" s="1164"/>
      <c r="B2382" s="1164"/>
      <c r="D2382" s="1224"/>
    </row>
    <row r="2383" spans="1:4" x14ac:dyDescent="0.2">
      <c r="A2383" s="1164"/>
      <c r="B2383" s="1164"/>
      <c r="D2383" s="1224"/>
    </row>
    <row r="2384" spans="1:4" x14ac:dyDescent="0.2">
      <c r="A2384" s="1164"/>
      <c r="B2384" s="1164"/>
      <c r="D2384" s="1224"/>
    </row>
    <row r="2385" spans="1:4" x14ac:dyDescent="0.2">
      <c r="A2385" s="1164"/>
      <c r="B2385" s="1164"/>
      <c r="D2385" s="1224"/>
    </row>
    <row r="2386" spans="1:4" x14ac:dyDescent="0.2">
      <c r="A2386" s="1164"/>
      <c r="B2386" s="1164"/>
      <c r="D2386" s="1224"/>
    </row>
    <row r="2387" spans="1:4" x14ac:dyDescent="0.2">
      <c r="A2387" s="1164"/>
      <c r="B2387" s="1164"/>
      <c r="D2387" s="1224"/>
    </row>
    <row r="2388" spans="1:4" x14ac:dyDescent="0.2">
      <c r="A2388" s="1164"/>
      <c r="B2388" s="1164"/>
      <c r="D2388" s="1224"/>
    </row>
    <row r="2389" spans="1:4" x14ac:dyDescent="0.2">
      <c r="A2389" s="1164"/>
      <c r="B2389" s="1164"/>
      <c r="D2389" s="1224"/>
    </row>
    <row r="2390" spans="1:4" x14ac:dyDescent="0.2">
      <c r="A2390" s="1164"/>
      <c r="B2390" s="1164"/>
      <c r="D2390" s="1224"/>
    </row>
    <row r="2391" spans="1:4" x14ac:dyDescent="0.2">
      <c r="A2391" s="1164"/>
      <c r="B2391" s="1164"/>
      <c r="D2391" s="1224"/>
    </row>
    <row r="2392" spans="1:4" x14ac:dyDescent="0.2">
      <c r="A2392" s="1164"/>
      <c r="B2392" s="1164"/>
      <c r="D2392" s="1224"/>
    </row>
    <row r="2393" spans="1:4" x14ac:dyDescent="0.2">
      <c r="A2393" s="1164"/>
      <c r="B2393" s="1164"/>
      <c r="D2393" s="1224"/>
    </row>
    <row r="2394" spans="1:4" x14ac:dyDescent="0.2">
      <c r="A2394" s="1164"/>
      <c r="B2394" s="1164"/>
      <c r="D2394" s="1224"/>
    </row>
    <row r="2395" spans="1:4" x14ac:dyDescent="0.2">
      <c r="A2395" s="1164"/>
      <c r="B2395" s="1164"/>
      <c r="D2395" s="1224"/>
    </row>
    <row r="2396" spans="1:4" x14ac:dyDescent="0.2">
      <c r="A2396" s="1164"/>
      <c r="B2396" s="1164"/>
      <c r="D2396" s="1224"/>
    </row>
    <row r="2397" spans="1:4" x14ac:dyDescent="0.2">
      <c r="A2397" s="1164"/>
      <c r="B2397" s="1164"/>
      <c r="D2397" s="1224"/>
    </row>
    <row r="2398" spans="1:4" x14ac:dyDescent="0.2">
      <c r="A2398" s="1164"/>
      <c r="B2398" s="1164"/>
      <c r="D2398" s="1224"/>
    </row>
    <row r="2399" spans="1:4" x14ac:dyDescent="0.2">
      <c r="A2399" s="1164"/>
      <c r="B2399" s="1164"/>
      <c r="D2399" s="1224"/>
    </row>
    <row r="2400" spans="1:4" x14ac:dyDescent="0.2">
      <c r="A2400" s="1164"/>
      <c r="B2400" s="1164"/>
      <c r="D2400" s="1224"/>
    </row>
    <row r="2401" spans="1:4" x14ac:dyDescent="0.2">
      <c r="A2401" s="1164"/>
      <c r="B2401" s="1164"/>
      <c r="D2401" s="1224"/>
    </row>
    <row r="2402" spans="1:4" x14ac:dyDescent="0.2">
      <c r="A2402" s="1164"/>
      <c r="B2402" s="1164"/>
      <c r="D2402" s="1224"/>
    </row>
    <row r="2403" spans="1:4" x14ac:dyDescent="0.2">
      <c r="A2403" s="1164"/>
      <c r="B2403" s="1164"/>
      <c r="D2403" s="1224"/>
    </row>
    <row r="2404" spans="1:4" x14ac:dyDescent="0.2">
      <c r="A2404" s="1164"/>
      <c r="B2404" s="1164"/>
      <c r="D2404" s="1224"/>
    </row>
    <row r="2405" spans="1:4" x14ac:dyDescent="0.2">
      <c r="A2405" s="1164"/>
      <c r="B2405" s="1164"/>
      <c r="D2405" s="1224"/>
    </row>
    <row r="2406" spans="1:4" x14ac:dyDescent="0.2">
      <c r="A2406" s="1164"/>
      <c r="B2406" s="1164"/>
      <c r="D2406" s="1224"/>
    </row>
    <row r="2407" spans="1:4" x14ac:dyDescent="0.2">
      <c r="A2407" s="1164"/>
      <c r="B2407" s="1164"/>
      <c r="D2407" s="1224"/>
    </row>
    <row r="2408" spans="1:4" x14ac:dyDescent="0.2">
      <c r="A2408" s="1164"/>
      <c r="B2408" s="1164"/>
      <c r="D2408" s="1224"/>
    </row>
    <row r="2409" spans="1:4" x14ac:dyDescent="0.2">
      <c r="A2409" s="1164"/>
      <c r="B2409" s="1164"/>
      <c r="D2409" s="1224"/>
    </row>
    <row r="2410" spans="1:4" x14ac:dyDescent="0.2">
      <c r="A2410" s="1164"/>
      <c r="B2410" s="1164"/>
      <c r="D2410" s="1224"/>
    </row>
    <row r="2411" spans="1:4" x14ac:dyDescent="0.2">
      <c r="A2411" s="1164"/>
      <c r="B2411" s="1164"/>
      <c r="D2411" s="1224"/>
    </row>
    <row r="2412" spans="1:4" x14ac:dyDescent="0.2">
      <c r="A2412" s="1164"/>
      <c r="B2412" s="1164"/>
      <c r="D2412" s="1224"/>
    </row>
    <row r="2413" spans="1:4" x14ac:dyDescent="0.2">
      <c r="A2413" s="1164"/>
      <c r="B2413" s="1164"/>
      <c r="D2413" s="1224"/>
    </row>
    <row r="2414" spans="1:4" x14ac:dyDescent="0.2">
      <c r="A2414" s="1164"/>
      <c r="B2414" s="1164"/>
      <c r="D2414" s="1224"/>
    </row>
    <row r="2415" spans="1:4" x14ac:dyDescent="0.2">
      <c r="A2415" s="1164"/>
      <c r="B2415" s="1164"/>
      <c r="D2415" s="1224"/>
    </row>
    <row r="2416" spans="1:4" x14ac:dyDescent="0.2">
      <c r="A2416" s="1164"/>
      <c r="B2416" s="1164"/>
      <c r="D2416" s="1224"/>
    </row>
    <row r="2417" spans="1:4" x14ac:dyDescent="0.2">
      <c r="A2417" s="1164"/>
      <c r="B2417" s="1164"/>
      <c r="D2417" s="1224"/>
    </row>
    <row r="2418" spans="1:4" x14ac:dyDescent="0.2">
      <c r="A2418" s="1164"/>
      <c r="B2418" s="1164"/>
      <c r="D2418" s="1224"/>
    </row>
    <row r="2419" spans="1:4" x14ac:dyDescent="0.2">
      <c r="A2419" s="1164"/>
      <c r="B2419" s="1164"/>
      <c r="D2419" s="1224"/>
    </row>
    <row r="2420" spans="1:4" x14ac:dyDescent="0.2">
      <c r="A2420" s="1164"/>
      <c r="B2420" s="1164"/>
      <c r="D2420" s="1224"/>
    </row>
    <row r="2421" spans="1:4" x14ac:dyDescent="0.2">
      <c r="A2421" s="1164"/>
      <c r="B2421" s="1164"/>
      <c r="D2421" s="1224"/>
    </row>
    <row r="2422" spans="1:4" x14ac:dyDescent="0.2">
      <c r="A2422" s="1164"/>
      <c r="B2422" s="1164"/>
      <c r="D2422" s="1224"/>
    </row>
    <row r="2423" spans="1:4" x14ac:dyDescent="0.2">
      <c r="A2423" s="1164"/>
      <c r="B2423" s="1164"/>
      <c r="D2423" s="1224"/>
    </row>
    <row r="2424" spans="1:4" x14ac:dyDescent="0.2">
      <c r="A2424" s="1164"/>
      <c r="B2424" s="1164"/>
      <c r="D2424" s="1224"/>
    </row>
    <row r="2425" spans="1:4" x14ac:dyDescent="0.2">
      <c r="A2425" s="1164"/>
      <c r="B2425" s="1164"/>
      <c r="D2425" s="1224"/>
    </row>
    <row r="2426" spans="1:4" x14ac:dyDescent="0.2">
      <c r="A2426" s="1164"/>
      <c r="B2426" s="1164"/>
      <c r="D2426" s="1224"/>
    </row>
    <row r="2427" spans="1:4" x14ac:dyDescent="0.2">
      <c r="A2427" s="1164"/>
      <c r="B2427" s="1164"/>
      <c r="D2427" s="1224"/>
    </row>
    <row r="2428" spans="1:4" x14ac:dyDescent="0.2">
      <c r="A2428" s="1164"/>
      <c r="B2428" s="1164"/>
      <c r="D2428" s="1224"/>
    </row>
    <row r="2429" spans="1:4" x14ac:dyDescent="0.2">
      <c r="A2429" s="1164"/>
      <c r="B2429" s="1164"/>
      <c r="D2429" s="1224"/>
    </row>
    <row r="2430" spans="1:4" x14ac:dyDescent="0.2">
      <c r="A2430" s="1164"/>
      <c r="B2430" s="1164"/>
      <c r="D2430" s="1224"/>
    </row>
    <row r="2431" spans="1:4" x14ac:dyDescent="0.2">
      <c r="A2431" s="1164"/>
      <c r="B2431" s="1164"/>
      <c r="D2431" s="1224"/>
    </row>
    <row r="2432" spans="1:4" x14ac:dyDescent="0.2">
      <c r="A2432" s="1164"/>
      <c r="B2432" s="1164"/>
      <c r="D2432" s="1224"/>
    </row>
    <row r="2433" spans="1:4" x14ac:dyDescent="0.2">
      <c r="A2433" s="1164"/>
      <c r="B2433" s="1164"/>
      <c r="D2433" s="1224"/>
    </row>
    <row r="2434" spans="1:4" x14ac:dyDescent="0.2">
      <c r="A2434" s="1164"/>
      <c r="B2434" s="1164"/>
      <c r="D2434" s="1224"/>
    </row>
    <row r="2435" spans="1:4" x14ac:dyDescent="0.2">
      <c r="A2435" s="1164"/>
      <c r="B2435" s="1164"/>
      <c r="D2435" s="1224"/>
    </row>
    <row r="2436" spans="1:4" x14ac:dyDescent="0.2">
      <c r="A2436" s="1164"/>
      <c r="B2436" s="1164"/>
      <c r="D2436" s="1224"/>
    </row>
    <row r="2437" spans="1:4" x14ac:dyDescent="0.2">
      <c r="A2437" s="1164"/>
      <c r="B2437" s="1164"/>
      <c r="D2437" s="1224"/>
    </row>
    <row r="2438" spans="1:4" x14ac:dyDescent="0.2">
      <c r="A2438" s="1164"/>
      <c r="B2438" s="1164"/>
      <c r="D2438" s="1224"/>
    </row>
    <row r="2439" spans="1:4" x14ac:dyDescent="0.2">
      <c r="A2439" s="1164"/>
      <c r="B2439" s="1164"/>
      <c r="D2439" s="1224"/>
    </row>
    <row r="2440" spans="1:4" x14ac:dyDescent="0.2">
      <c r="A2440" s="1164"/>
      <c r="B2440" s="1164"/>
      <c r="D2440" s="1224"/>
    </row>
    <row r="2441" spans="1:4" x14ac:dyDescent="0.2">
      <c r="A2441" s="1164"/>
      <c r="B2441" s="1164"/>
      <c r="D2441" s="1224"/>
    </row>
    <row r="2442" spans="1:4" x14ac:dyDescent="0.2">
      <c r="A2442" s="1164"/>
      <c r="B2442" s="1164"/>
      <c r="D2442" s="1224"/>
    </row>
    <row r="2443" spans="1:4" x14ac:dyDescent="0.2">
      <c r="A2443" s="1164"/>
      <c r="B2443" s="1164"/>
      <c r="D2443" s="1224"/>
    </row>
    <row r="2444" spans="1:4" x14ac:dyDescent="0.2">
      <c r="A2444" s="1164"/>
      <c r="B2444" s="1164"/>
      <c r="D2444" s="1224"/>
    </row>
    <row r="2445" spans="1:4" x14ac:dyDescent="0.2">
      <c r="A2445" s="1164"/>
      <c r="B2445" s="1164"/>
      <c r="D2445" s="1224"/>
    </row>
    <row r="2446" spans="1:4" x14ac:dyDescent="0.2">
      <c r="A2446" s="1164"/>
      <c r="B2446" s="1164"/>
      <c r="D2446" s="1224"/>
    </row>
    <row r="2447" spans="1:4" x14ac:dyDescent="0.2">
      <c r="A2447" s="1164"/>
      <c r="B2447" s="1164"/>
      <c r="D2447" s="1224"/>
    </row>
    <row r="2448" spans="1:4" x14ac:dyDescent="0.2">
      <c r="A2448" s="1164"/>
      <c r="B2448" s="1164"/>
      <c r="D2448" s="1224"/>
    </row>
    <row r="2449" spans="1:4" x14ac:dyDescent="0.2">
      <c r="A2449" s="1164"/>
      <c r="B2449" s="1164"/>
      <c r="D2449" s="1224"/>
    </row>
    <row r="2450" spans="1:4" x14ac:dyDescent="0.2">
      <c r="A2450" s="1164"/>
      <c r="B2450" s="1164"/>
      <c r="D2450" s="1224"/>
    </row>
    <row r="2451" spans="1:4" x14ac:dyDescent="0.2">
      <c r="A2451" s="1164"/>
      <c r="B2451" s="1164"/>
      <c r="D2451" s="1224"/>
    </row>
    <row r="2452" spans="1:4" x14ac:dyDescent="0.2">
      <c r="A2452" s="1164"/>
      <c r="B2452" s="1164"/>
      <c r="D2452" s="1224"/>
    </row>
    <row r="2453" spans="1:4" x14ac:dyDescent="0.2">
      <c r="A2453" s="1164"/>
      <c r="B2453" s="1164"/>
      <c r="D2453" s="1224"/>
    </row>
    <row r="2454" spans="1:4" x14ac:dyDescent="0.2">
      <c r="A2454" s="1164"/>
      <c r="B2454" s="1164"/>
      <c r="D2454" s="1224"/>
    </row>
    <row r="2455" spans="1:4" x14ac:dyDescent="0.2">
      <c r="A2455" s="1164"/>
      <c r="B2455" s="1164"/>
      <c r="D2455" s="1224"/>
    </row>
    <row r="2456" spans="1:4" x14ac:dyDescent="0.2">
      <c r="A2456" s="1164"/>
      <c r="B2456" s="1164"/>
      <c r="D2456" s="1224"/>
    </row>
    <row r="2457" spans="1:4" x14ac:dyDescent="0.2">
      <c r="A2457" s="1164"/>
      <c r="B2457" s="1164"/>
      <c r="D2457" s="1224"/>
    </row>
    <row r="2458" spans="1:4" x14ac:dyDescent="0.2">
      <c r="A2458" s="1164"/>
      <c r="B2458" s="1164"/>
      <c r="D2458" s="1224"/>
    </row>
    <row r="2459" spans="1:4" x14ac:dyDescent="0.2">
      <c r="A2459" s="1164"/>
      <c r="B2459" s="1164"/>
      <c r="D2459" s="1224"/>
    </row>
    <row r="2460" spans="1:4" x14ac:dyDescent="0.2">
      <c r="A2460" s="1164"/>
      <c r="B2460" s="1164"/>
      <c r="D2460" s="1224"/>
    </row>
    <row r="2461" spans="1:4" x14ac:dyDescent="0.2">
      <c r="A2461" s="1164"/>
      <c r="B2461" s="1164"/>
      <c r="D2461" s="1224"/>
    </row>
    <row r="2462" spans="1:4" x14ac:dyDescent="0.2">
      <c r="A2462" s="1164"/>
      <c r="B2462" s="1164"/>
      <c r="D2462" s="1224"/>
    </row>
    <row r="2463" spans="1:4" x14ac:dyDescent="0.2">
      <c r="A2463" s="1164"/>
      <c r="B2463" s="1164"/>
      <c r="D2463" s="1224"/>
    </row>
    <row r="2464" spans="1:4" x14ac:dyDescent="0.2">
      <c r="A2464" s="1164"/>
      <c r="B2464" s="1164"/>
      <c r="D2464" s="1224"/>
    </row>
    <row r="2465" spans="1:4" x14ac:dyDescent="0.2">
      <c r="A2465" s="1164"/>
      <c r="B2465" s="1164"/>
      <c r="D2465" s="1224"/>
    </row>
    <row r="2466" spans="1:4" x14ac:dyDescent="0.2">
      <c r="A2466" s="1164"/>
      <c r="B2466" s="1164"/>
      <c r="D2466" s="1224"/>
    </row>
    <row r="2467" spans="1:4" x14ac:dyDescent="0.2">
      <c r="A2467" s="1164"/>
      <c r="B2467" s="1164"/>
      <c r="D2467" s="1224"/>
    </row>
    <row r="2468" spans="1:4" x14ac:dyDescent="0.2">
      <c r="A2468" s="1164"/>
      <c r="B2468" s="1164"/>
      <c r="D2468" s="1224"/>
    </row>
    <row r="2469" spans="1:4" x14ac:dyDescent="0.2">
      <c r="A2469" s="1164"/>
      <c r="B2469" s="1164"/>
      <c r="D2469" s="1224"/>
    </row>
    <row r="2470" spans="1:4" x14ac:dyDescent="0.2">
      <c r="A2470" s="1164"/>
      <c r="B2470" s="1164"/>
      <c r="D2470" s="1224"/>
    </row>
    <row r="2471" spans="1:4" x14ac:dyDescent="0.2">
      <c r="A2471" s="1164"/>
      <c r="B2471" s="1164"/>
      <c r="D2471" s="1224"/>
    </row>
    <row r="2472" spans="1:4" x14ac:dyDescent="0.2">
      <c r="A2472" s="1164"/>
      <c r="B2472" s="1164"/>
      <c r="D2472" s="1224"/>
    </row>
    <row r="2473" spans="1:4" x14ac:dyDescent="0.2">
      <c r="A2473" s="1164"/>
      <c r="B2473" s="1164"/>
      <c r="D2473" s="1224"/>
    </row>
    <row r="2474" spans="1:4" x14ac:dyDescent="0.2">
      <c r="A2474" s="1164"/>
      <c r="B2474" s="1164"/>
      <c r="D2474" s="1224"/>
    </row>
    <row r="2475" spans="1:4" x14ac:dyDescent="0.2">
      <c r="A2475" s="1164"/>
      <c r="B2475" s="1164"/>
      <c r="D2475" s="1224"/>
    </row>
    <row r="2476" spans="1:4" x14ac:dyDescent="0.2">
      <c r="A2476" s="1164"/>
      <c r="B2476" s="1164"/>
      <c r="D2476" s="1224"/>
    </row>
    <row r="2477" spans="1:4" x14ac:dyDescent="0.2">
      <c r="A2477" s="1164"/>
      <c r="B2477" s="1164"/>
      <c r="D2477" s="1224"/>
    </row>
    <row r="2478" spans="1:4" x14ac:dyDescent="0.2">
      <c r="A2478" s="1164"/>
      <c r="B2478" s="1164"/>
      <c r="D2478" s="1224"/>
    </row>
    <row r="2479" spans="1:4" x14ac:dyDescent="0.2">
      <c r="A2479" s="1164"/>
      <c r="B2479" s="1164"/>
      <c r="D2479" s="1224"/>
    </row>
    <row r="2480" spans="1:4" x14ac:dyDescent="0.2">
      <c r="A2480" s="1164"/>
      <c r="B2480" s="1164"/>
      <c r="D2480" s="1224"/>
    </row>
    <row r="2481" spans="1:4" x14ac:dyDescent="0.2">
      <c r="A2481" s="1164"/>
      <c r="B2481" s="1164"/>
      <c r="D2481" s="1224"/>
    </row>
    <row r="2482" spans="1:4" x14ac:dyDescent="0.2">
      <c r="A2482" s="1164"/>
      <c r="B2482" s="1164"/>
      <c r="D2482" s="1224"/>
    </row>
    <row r="2483" spans="1:4" x14ac:dyDescent="0.2">
      <c r="A2483" s="1164"/>
      <c r="B2483" s="1164"/>
      <c r="D2483" s="1224"/>
    </row>
    <row r="2484" spans="1:4" x14ac:dyDescent="0.2">
      <c r="A2484" s="1164"/>
      <c r="B2484" s="1164"/>
      <c r="D2484" s="1224"/>
    </row>
    <row r="2485" spans="1:4" x14ac:dyDescent="0.2">
      <c r="A2485" s="1164"/>
      <c r="B2485" s="1164"/>
      <c r="D2485" s="1224"/>
    </row>
    <row r="2486" spans="1:4" x14ac:dyDescent="0.2">
      <c r="A2486" s="1164"/>
      <c r="B2486" s="1164"/>
      <c r="D2486" s="1224"/>
    </row>
    <row r="2487" spans="1:4" x14ac:dyDescent="0.2">
      <c r="A2487" s="1164"/>
      <c r="B2487" s="1164"/>
      <c r="D2487" s="1224"/>
    </row>
    <row r="2488" spans="1:4" x14ac:dyDescent="0.2">
      <c r="A2488" s="1164"/>
      <c r="B2488" s="1164"/>
      <c r="D2488" s="1224"/>
    </row>
    <row r="2489" spans="1:4" x14ac:dyDescent="0.2">
      <c r="A2489" s="1164"/>
      <c r="B2489" s="1164"/>
      <c r="D2489" s="1224"/>
    </row>
    <row r="2490" spans="1:4" x14ac:dyDescent="0.2">
      <c r="A2490" s="1164"/>
      <c r="B2490" s="1164"/>
      <c r="D2490" s="1224"/>
    </row>
    <row r="2491" spans="1:4" x14ac:dyDescent="0.2">
      <c r="A2491" s="1164"/>
      <c r="B2491" s="1164"/>
      <c r="D2491" s="1224"/>
    </row>
    <row r="2492" spans="1:4" x14ac:dyDescent="0.2">
      <c r="A2492" s="1164"/>
      <c r="B2492" s="1164"/>
      <c r="D2492" s="1224"/>
    </row>
    <row r="2493" spans="1:4" x14ac:dyDescent="0.2">
      <c r="A2493" s="1164"/>
      <c r="B2493" s="1164"/>
      <c r="D2493" s="1224"/>
    </row>
    <row r="2494" spans="1:4" x14ac:dyDescent="0.2">
      <c r="A2494" s="1164"/>
      <c r="B2494" s="1164"/>
      <c r="D2494" s="1224"/>
    </row>
    <row r="2495" spans="1:4" x14ac:dyDescent="0.2">
      <c r="A2495" s="1164"/>
      <c r="B2495" s="1164"/>
      <c r="D2495" s="1224"/>
    </row>
    <row r="2496" spans="1:4" x14ac:dyDescent="0.2">
      <c r="A2496" s="1164"/>
      <c r="B2496" s="1164"/>
      <c r="D2496" s="1224"/>
    </row>
    <row r="2497" spans="1:4" x14ac:dyDescent="0.2">
      <c r="A2497" s="1164"/>
      <c r="B2497" s="1164"/>
      <c r="D2497" s="1224"/>
    </row>
    <row r="2498" spans="1:4" x14ac:dyDescent="0.2">
      <c r="A2498" s="1164"/>
      <c r="B2498" s="1164"/>
      <c r="D2498" s="1224"/>
    </row>
    <row r="2499" spans="1:4" x14ac:dyDescent="0.2">
      <c r="A2499" s="1164"/>
      <c r="B2499" s="1164"/>
      <c r="D2499" s="1224"/>
    </row>
    <row r="2500" spans="1:4" x14ac:dyDescent="0.2">
      <c r="A2500" s="1164"/>
      <c r="B2500" s="1164"/>
      <c r="D2500" s="1224"/>
    </row>
    <row r="2501" spans="1:4" x14ac:dyDescent="0.2">
      <c r="A2501" s="1164"/>
      <c r="B2501" s="1164"/>
      <c r="D2501" s="1224"/>
    </row>
    <row r="2502" spans="1:4" x14ac:dyDescent="0.2">
      <c r="A2502" s="1164"/>
      <c r="B2502" s="1164"/>
      <c r="D2502" s="1224"/>
    </row>
    <row r="2503" spans="1:4" x14ac:dyDescent="0.2">
      <c r="A2503" s="1164"/>
      <c r="B2503" s="1164"/>
      <c r="D2503" s="1224"/>
    </row>
    <row r="2504" spans="1:4" x14ac:dyDescent="0.2">
      <c r="A2504" s="1164"/>
      <c r="B2504" s="1164"/>
      <c r="D2504" s="1224"/>
    </row>
    <row r="2505" spans="1:4" x14ac:dyDescent="0.2">
      <c r="A2505" s="1164"/>
      <c r="B2505" s="1164"/>
      <c r="D2505" s="1224"/>
    </row>
    <row r="2506" spans="1:4" x14ac:dyDescent="0.2">
      <c r="A2506" s="1164"/>
      <c r="B2506" s="1164"/>
      <c r="D2506" s="1224"/>
    </row>
    <row r="2507" spans="1:4" x14ac:dyDescent="0.2">
      <c r="A2507" s="1164"/>
      <c r="B2507" s="1164"/>
      <c r="D2507" s="1224"/>
    </row>
    <row r="2508" spans="1:4" x14ac:dyDescent="0.2">
      <c r="A2508" s="1164"/>
      <c r="B2508" s="1164"/>
      <c r="D2508" s="1224"/>
    </row>
    <row r="2509" spans="1:4" x14ac:dyDescent="0.2">
      <c r="A2509" s="1164"/>
      <c r="B2509" s="1164"/>
      <c r="D2509" s="1224"/>
    </row>
    <row r="2510" spans="1:4" x14ac:dyDescent="0.2">
      <c r="A2510" s="1164"/>
      <c r="B2510" s="1164"/>
      <c r="D2510" s="1224"/>
    </row>
    <row r="2511" spans="1:4" x14ac:dyDescent="0.2">
      <c r="A2511" s="1164"/>
      <c r="B2511" s="1164"/>
      <c r="D2511" s="1224"/>
    </row>
    <row r="2512" spans="1:4" x14ac:dyDescent="0.2">
      <c r="A2512" s="1164"/>
      <c r="B2512" s="1164"/>
      <c r="D2512" s="1224"/>
    </row>
    <row r="2513" spans="1:4" x14ac:dyDescent="0.2">
      <c r="A2513" s="1164"/>
      <c r="B2513" s="1164"/>
      <c r="D2513" s="1224"/>
    </row>
    <row r="2514" spans="1:4" x14ac:dyDescent="0.2">
      <c r="A2514" s="1164"/>
      <c r="B2514" s="1164"/>
      <c r="D2514" s="1224"/>
    </row>
    <row r="2515" spans="1:4" x14ac:dyDescent="0.2">
      <c r="A2515" s="1164"/>
      <c r="B2515" s="1164"/>
      <c r="D2515" s="1224"/>
    </row>
    <row r="2516" spans="1:4" x14ac:dyDescent="0.2">
      <c r="A2516" s="1164"/>
      <c r="B2516" s="1164"/>
      <c r="D2516" s="1224"/>
    </row>
    <row r="2517" spans="1:4" x14ac:dyDescent="0.2">
      <c r="A2517" s="1164"/>
      <c r="B2517" s="1164"/>
      <c r="D2517" s="1224"/>
    </row>
    <row r="2518" spans="1:4" x14ac:dyDescent="0.2">
      <c r="A2518" s="1164"/>
      <c r="B2518" s="1164"/>
      <c r="D2518" s="1224"/>
    </row>
    <row r="2519" spans="1:4" x14ac:dyDescent="0.2">
      <c r="A2519" s="1164"/>
      <c r="B2519" s="1164"/>
      <c r="D2519" s="1224"/>
    </row>
    <row r="2520" spans="1:4" x14ac:dyDescent="0.2">
      <c r="A2520" s="1164"/>
      <c r="B2520" s="1164"/>
      <c r="D2520" s="1224"/>
    </row>
    <row r="2521" spans="1:4" x14ac:dyDescent="0.2">
      <c r="A2521" s="1164"/>
      <c r="B2521" s="1164"/>
      <c r="D2521" s="1224"/>
    </row>
    <row r="2522" spans="1:4" x14ac:dyDescent="0.2">
      <c r="A2522" s="1164"/>
      <c r="B2522" s="1164"/>
      <c r="D2522" s="1224"/>
    </row>
    <row r="2523" spans="1:4" x14ac:dyDescent="0.2">
      <c r="A2523" s="1164"/>
      <c r="B2523" s="1164"/>
      <c r="D2523" s="1224"/>
    </row>
    <row r="2524" spans="1:4" x14ac:dyDescent="0.2">
      <c r="A2524" s="1164"/>
      <c r="B2524" s="1164"/>
      <c r="D2524" s="1224"/>
    </row>
    <row r="2525" spans="1:4" x14ac:dyDescent="0.2">
      <c r="A2525" s="1164"/>
      <c r="B2525" s="1164"/>
      <c r="D2525" s="1224"/>
    </row>
    <row r="2526" spans="1:4" x14ac:dyDescent="0.2">
      <c r="A2526" s="1164"/>
      <c r="B2526" s="1164"/>
      <c r="D2526" s="1224"/>
    </row>
    <row r="2527" spans="1:4" x14ac:dyDescent="0.2">
      <c r="A2527" s="1164"/>
      <c r="B2527" s="1164"/>
      <c r="D2527" s="1224"/>
    </row>
    <row r="2528" spans="1:4" x14ac:dyDescent="0.2">
      <c r="A2528" s="1164"/>
      <c r="B2528" s="1164"/>
      <c r="D2528" s="1224"/>
    </row>
    <row r="2529" spans="1:4" x14ac:dyDescent="0.2">
      <c r="A2529" s="1164"/>
      <c r="B2529" s="1164"/>
      <c r="D2529" s="1224"/>
    </row>
    <row r="2530" spans="1:4" x14ac:dyDescent="0.2">
      <c r="A2530" s="1164"/>
      <c r="B2530" s="1164"/>
      <c r="D2530" s="1224"/>
    </row>
    <row r="2531" spans="1:4" x14ac:dyDescent="0.2">
      <c r="A2531" s="1164"/>
      <c r="B2531" s="1164"/>
      <c r="D2531" s="1224"/>
    </row>
    <row r="2532" spans="1:4" x14ac:dyDescent="0.2">
      <c r="A2532" s="1164"/>
      <c r="B2532" s="1164"/>
      <c r="D2532" s="1224"/>
    </row>
    <row r="2533" spans="1:4" x14ac:dyDescent="0.2">
      <c r="A2533" s="1164"/>
      <c r="B2533" s="1164"/>
      <c r="D2533" s="1224"/>
    </row>
    <row r="2534" spans="1:4" x14ac:dyDescent="0.2">
      <c r="A2534" s="1164"/>
      <c r="B2534" s="1164"/>
      <c r="D2534" s="1224"/>
    </row>
    <row r="2535" spans="1:4" x14ac:dyDescent="0.2">
      <c r="A2535" s="1164"/>
      <c r="B2535" s="1164"/>
      <c r="D2535" s="1224"/>
    </row>
    <row r="2536" spans="1:4" x14ac:dyDescent="0.2">
      <c r="A2536" s="1164"/>
      <c r="B2536" s="1164"/>
      <c r="D2536" s="1224"/>
    </row>
    <row r="2537" spans="1:4" x14ac:dyDescent="0.2">
      <c r="A2537" s="1164"/>
      <c r="B2537" s="1164"/>
      <c r="D2537" s="1224"/>
    </row>
    <row r="2538" spans="1:4" x14ac:dyDescent="0.2">
      <c r="A2538" s="1164"/>
      <c r="B2538" s="1164"/>
      <c r="D2538" s="1224"/>
    </row>
    <row r="2539" spans="1:4" x14ac:dyDescent="0.2">
      <c r="A2539" s="1164"/>
      <c r="B2539" s="1164"/>
      <c r="D2539" s="1224"/>
    </row>
    <row r="2540" spans="1:4" x14ac:dyDescent="0.2">
      <c r="A2540" s="1164"/>
      <c r="B2540" s="1164"/>
      <c r="D2540" s="1224"/>
    </row>
    <row r="2541" spans="1:4" x14ac:dyDescent="0.2">
      <c r="A2541" s="1164"/>
      <c r="B2541" s="1164"/>
      <c r="D2541" s="1224"/>
    </row>
    <row r="2542" spans="1:4" x14ac:dyDescent="0.2">
      <c r="A2542" s="1164"/>
      <c r="B2542" s="1164"/>
      <c r="D2542" s="1224"/>
    </row>
    <row r="2543" spans="1:4" x14ac:dyDescent="0.2">
      <c r="A2543" s="1164"/>
      <c r="B2543" s="1164"/>
      <c r="D2543" s="1224"/>
    </row>
    <row r="2544" spans="1:4" x14ac:dyDescent="0.2">
      <c r="A2544" s="1164"/>
      <c r="B2544" s="1164"/>
      <c r="D2544" s="1224"/>
    </row>
    <row r="2545" spans="1:4" x14ac:dyDescent="0.2">
      <c r="A2545" s="1164"/>
      <c r="B2545" s="1164"/>
      <c r="D2545" s="1224"/>
    </row>
    <row r="2546" spans="1:4" x14ac:dyDescent="0.2">
      <c r="A2546" s="1164"/>
      <c r="B2546" s="1164"/>
      <c r="D2546" s="1224"/>
    </row>
    <row r="2547" spans="1:4" x14ac:dyDescent="0.2">
      <c r="A2547" s="1164"/>
      <c r="B2547" s="1164"/>
      <c r="D2547" s="1224"/>
    </row>
    <row r="2548" spans="1:4" x14ac:dyDescent="0.2">
      <c r="A2548" s="1164"/>
      <c r="B2548" s="1164"/>
      <c r="D2548" s="1224"/>
    </row>
    <row r="2549" spans="1:4" x14ac:dyDescent="0.2">
      <c r="A2549" s="1164"/>
      <c r="B2549" s="1164"/>
      <c r="D2549" s="1224"/>
    </row>
    <row r="2550" spans="1:4" x14ac:dyDescent="0.2">
      <c r="A2550" s="1164"/>
      <c r="B2550" s="1164"/>
      <c r="D2550" s="1224"/>
    </row>
    <row r="2551" spans="1:4" x14ac:dyDescent="0.2">
      <c r="A2551" s="1164"/>
      <c r="B2551" s="1164"/>
      <c r="D2551" s="1224"/>
    </row>
    <row r="2552" spans="1:4" x14ac:dyDescent="0.2">
      <c r="A2552" s="1164"/>
      <c r="B2552" s="1164"/>
      <c r="D2552" s="1224"/>
    </row>
    <row r="2553" spans="1:4" x14ac:dyDescent="0.2">
      <c r="A2553" s="1164"/>
      <c r="B2553" s="1164"/>
      <c r="D2553" s="1224"/>
    </row>
    <row r="2554" spans="1:4" x14ac:dyDescent="0.2">
      <c r="A2554" s="1164"/>
      <c r="B2554" s="1164"/>
      <c r="D2554" s="1224"/>
    </row>
    <row r="2555" spans="1:4" x14ac:dyDescent="0.2">
      <c r="A2555" s="1164"/>
      <c r="B2555" s="1164"/>
      <c r="D2555" s="1224"/>
    </row>
    <row r="2556" spans="1:4" x14ac:dyDescent="0.2">
      <c r="A2556" s="1164"/>
      <c r="B2556" s="1164"/>
      <c r="D2556" s="1224"/>
    </row>
    <row r="2557" spans="1:4" x14ac:dyDescent="0.2">
      <c r="A2557" s="1164"/>
      <c r="B2557" s="1164"/>
      <c r="D2557" s="1224"/>
    </row>
    <row r="2558" spans="1:4" x14ac:dyDescent="0.2">
      <c r="A2558" s="1164"/>
      <c r="B2558" s="1164"/>
      <c r="D2558" s="1224"/>
    </row>
    <row r="2559" spans="1:4" x14ac:dyDescent="0.2">
      <c r="A2559" s="1164"/>
      <c r="B2559" s="1164"/>
      <c r="D2559" s="1224"/>
    </row>
    <row r="2560" spans="1:4" x14ac:dyDescent="0.2">
      <c r="A2560" s="1164"/>
      <c r="B2560" s="1164"/>
      <c r="D2560" s="1224"/>
    </row>
    <row r="2561" spans="1:4" x14ac:dyDescent="0.2">
      <c r="A2561" s="1164"/>
      <c r="B2561" s="1164"/>
      <c r="D2561" s="1224"/>
    </row>
    <row r="2562" spans="1:4" x14ac:dyDescent="0.2">
      <c r="A2562" s="1164"/>
      <c r="B2562" s="1164"/>
      <c r="D2562" s="1224"/>
    </row>
    <row r="2563" spans="1:4" x14ac:dyDescent="0.2">
      <c r="A2563" s="1164"/>
      <c r="B2563" s="1164"/>
      <c r="D2563" s="1224"/>
    </row>
    <row r="2564" spans="1:4" x14ac:dyDescent="0.2">
      <c r="A2564" s="1164"/>
      <c r="B2564" s="1164"/>
      <c r="D2564" s="1224"/>
    </row>
    <row r="2565" spans="1:4" x14ac:dyDescent="0.2">
      <c r="A2565" s="1164"/>
      <c r="B2565" s="1164"/>
      <c r="D2565" s="1224"/>
    </row>
    <row r="2566" spans="1:4" x14ac:dyDescent="0.2">
      <c r="A2566" s="1164"/>
      <c r="B2566" s="1164"/>
      <c r="D2566" s="1224"/>
    </row>
    <row r="2567" spans="1:4" x14ac:dyDescent="0.2">
      <c r="A2567" s="1164"/>
      <c r="B2567" s="1164"/>
      <c r="D2567" s="1224"/>
    </row>
    <row r="2568" spans="1:4" x14ac:dyDescent="0.2">
      <c r="A2568" s="1164"/>
      <c r="B2568" s="1164"/>
      <c r="D2568" s="1224"/>
    </row>
    <row r="2569" spans="1:4" x14ac:dyDescent="0.2">
      <c r="A2569" s="1164"/>
      <c r="B2569" s="1164"/>
      <c r="D2569" s="1224"/>
    </row>
    <row r="2570" spans="1:4" x14ac:dyDescent="0.2">
      <c r="A2570" s="1164"/>
      <c r="B2570" s="1164"/>
      <c r="D2570" s="1224"/>
    </row>
    <row r="2571" spans="1:4" x14ac:dyDescent="0.2">
      <c r="A2571" s="1164"/>
      <c r="B2571" s="1164"/>
      <c r="D2571" s="1224"/>
    </row>
    <row r="2572" spans="1:4" x14ac:dyDescent="0.2">
      <c r="A2572" s="1164"/>
      <c r="B2572" s="1164"/>
      <c r="D2572" s="1224"/>
    </row>
    <row r="2573" spans="1:4" x14ac:dyDescent="0.2">
      <c r="A2573" s="1164"/>
      <c r="B2573" s="1164"/>
      <c r="D2573" s="1224"/>
    </row>
    <row r="2574" spans="1:4" x14ac:dyDescent="0.2">
      <c r="A2574" s="1164"/>
      <c r="B2574" s="1164"/>
      <c r="D2574" s="1224"/>
    </row>
    <row r="2575" spans="1:4" x14ac:dyDescent="0.2">
      <c r="A2575" s="1164"/>
      <c r="B2575" s="1164"/>
      <c r="D2575" s="1224"/>
    </row>
    <row r="2576" spans="1:4" x14ac:dyDescent="0.2">
      <c r="A2576" s="1164"/>
      <c r="B2576" s="1164"/>
      <c r="D2576" s="1224"/>
    </row>
    <row r="2577" spans="1:4" x14ac:dyDescent="0.2">
      <c r="A2577" s="1164"/>
      <c r="B2577" s="1164"/>
      <c r="D2577" s="1224"/>
    </row>
    <row r="2578" spans="1:4" x14ac:dyDescent="0.2">
      <c r="A2578" s="1164"/>
      <c r="B2578" s="1164"/>
      <c r="D2578" s="1224"/>
    </row>
    <row r="2579" spans="1:4" x14ac:dyDescent="0.2">
      <c r="A2579" s="1164"/>
      <c r="B2579" s="1164"/>
      <c r="D2579" s="1224"/>
    </row>
    <row r="2580" spans="1:4" x14ac:dyDescent="0.2">
      <c r="A2580" s="1164"/>
      <c r="B2580" s="1164"/>
      <c r="D2580" s="1224"/>
    </row>
    <row r="2581" spans="1:4" x14ac:dyDescent="0.2">
      <c r="A2581" s="1164"/>
      <c r="B2581" s="1164"/>
      <c r="D2581" s="1224"/>
    </row>
    <row r="2582" spans="1:4" x14ac:dyDescent="0.2">
      <c r="A2582" s="1164"/>
      <c r="B2582" s="1164"/>
      <c r="D2582" s="1224"/>
    </row>
    <row r="2583" spans="1:4" x14ac:dyDescent="0.2">
      <c r="A2583" s="1164"/>
      <c r="B2583" s="1164"/>
      <c r="D2583" s="1224"/>
    </row>
    <row r="2584" spans="1:4" x14ac:dyDescent="0.2">
      <c r="A2584" s="1164"/>
      <c r="B2584" s="1164"/>
      <c r="D2584" s="1224"/>
    </row>
    <row r="2585" spans="1:4" x14ac:dyDescent="0.2">
      <c r="A2585" s="1164"/>
      <c r="B2585" s="1164"/>
      <c r="D2585" s="1224"/>
    </row>
    <row r="2586" spans="1:4" x14ac:dyDescent="0.2">
      <c r="A2586" s="1164"/>
      <c r="B2586" s="1164"/>
      <c r="D2586" s="1224"/>
    </row>
    <row r="2587" spans="1:4" x14ac:dyDescent="0.2">
      <c r="A2587" s="1164"/>
      <c r="B2587" s="1164"/>
      <c r="D2587" s="1224"/>
    </row>
    <row r="2588" spans="1:4" x14ac:dyDescent="0.2">
      <c r="A2588" s="1164"/>
      <c r="B2588" s="1164"/>
      <c r="D2588" s="1224"/>
    </row>
    <row r="2589" spans="1:4" x14ac:dyDescent="0.2">
      <c r="A2589" s="1164"/>
      <c r="B2589" s="1164"/>
      <c r="D2589" s="1224"/>
    </row>
    <row r="2590" spans="1:4" x14ac:dyDescent="0.2">
      <c r="A2590" s="1164"/>
      <c r="B2590" s="1164"/>
      <c r="D2590" s="1224"/>
    </row>
    <row r="2591" spans="1:4" x14ac:dyDescent="0.2">
      <c r="A2591" s="1164"/>
      <c r="B2591" s="1164"/>
      <c r="D2591" s="1224"/>
    </row>
    <row r="2592" spans="1:4" x14ac:dyDescent="0.2">
      <c r="A2592" s="1164"/>
      <c r="B2592" s="1164"/>
      <c r="D2592" s="1224"/>
    </row>
    <row r="2593" spans="1:4" x14ac:dyDescent="0.2">
      <c r="A2593" s="1164"/>
      <c r="B2593" s="1164"/>
      <c r="D2593" s="1224"/>
    </row>
    <row r="2594" spans="1:4" x14ac:dyDescent="0.2">
      <c r="A2594" s="1164"/>
      <c r="B2594" s="1164"/>
      <c r="D2594" s="1224"/>
    </row>
    <row r="2595" spans="1:4" x14ac:dyDescent="0.2">
      <c r="A2595" s="1164"/>
      <c r="B2595" s="1164"/>
      <c r="D2595" s="1224"/>
    </row>
    <row r="2596" spans="1:4" x14ac:dyDescent="0.2">
      <c r="A2596" s="1164"/>
      <c r="B2596" s="1164"/>
      <c r="D2596" s="1224"/>
    </row>
    <row r="2597" spans="1:4" x14ac:dyDescent="0.2">
      <c r="A2597" s="1164"/>
      <c r="B2597" s="1164"/>
      <c r="D2597" s="1224"/>
    </row>
    <row r="2598" spans="1:4" x14ac:dyDescent="0.2">
      <c r="A2598" s="1164"/>
      <c r="B2598" s="1164"/>
      <c r="D2598" s="1224"/>
    </row>
    <row r="2599" spans="1:4" x14ac:dyDescent="0.2">
      <c r="A2599" s="1164"/>
      <c r="B2599" s="1164"/>
      <c r="D2599" s="1224"/>
    </row>
    <row r="2600" spans="1:4" x14ac:dyDescent="0.2">
      <c r="A2600" s="1164"/>
      <c r="B2600" s="1164"/>
      <c r="D2600" s="1224"/>
    </row>
    <row r="2601" spans="1:4" x14ac:dyDescent="0.2">
      <c r="A2601" s="1164"/>
      <c r="B2601" s="1164"/>
      <c r="D2601" s="1224"/>
    </row>
    <row r="2602" spans="1:4" x14ac:dyDescent="0.2">
      <c r="A2602" s="1164"/>
      <c r="B2602" s="1164"/>
      <c r="D2602" s="1224"/>
    </row>
    <row r="2603" spans="1:4" x14ac:dyDescent="0.2">
      <c r="A2603" s="1164"/>
      <c r="B2603" s="1164"/>
      <c r="D2603" s="1224"/>
    </row>
    <row r="2604" spans="1:4" x14ac:dyDescent="0.2">
      <c r="A2604" s="1164"/>
      <c r="B2604" s="1164"/>
      <c r="D2604" s="1224"/>
    </row>
    <row r="2605" spans="1:4" x14ac:dyDescent="0.2">
      <c r="A2605" s="1164"/>
      <c r="B2605" s="1164"/>
      <c r="D2605" s="1224"/>
    </row>
    <row r="2606" spans="1:4" x14ac:dyDescent="0.2">
      <c r="A2606" s="1164"/>
      <c r="B2606" s="1164"/>
      <c r="D2606" s="1224"/>
    </row>
    <row r="2607" spans="1:4" x14ac:dyDescent="0.2">
      <c r="A2607" s="1164"/>
      <c r="B2607" s="1164"/>
      <c r="D2607" s="1224"/>
    </row>
    <row r="2608" spans="1:4" x14ac:dyDescent="0.2">
      <c r="A2608" s="1164"/>
      <c r="B2608" s="1164"/>
      <c r="D2608" s="1224"/>
    </row>
    <row r="2609" spans="1:4" x14ac:dyDescent="0.2">
      <c r="A2609" s="1164"/>
      <c r="B2609" s="1164"/>
      <c r="D2609" s="1224"/>
    </row>
    <row r="2610" spans="1:4" x14ac:dyDescent="0.2">
      <c r="A2610" s="1164"/>
      <c r="B2610" s="1164"/>
      <c r="D2610" s="1224"/>
    </row>
    <row r="2611" spans="1:4" x14ac:dyDescent="0.2">
      <c r="A2611" s="1164"/>
      <c r="B2611" s="1164"/>
      <c r="D2611" s="1224"/>
    </row>
    <row r="2612" spans="1:4" x14ac:dyDescent="0.2">
      <c r="A2612" s="1164"/>
      <c r="B2612" s="1164"/>
      <c r="D2612" s="1224"/>
    </row>
    <row r="2613" spans="1:4" x14ac:dyDescent="0.2">
      <c r="A2613" s="1164"/>
      <c r="B2613" s="1164"/>
      <c r="D2613" s="1224"/>
    </row>
    <row r="2614" spans="1:4" x14ac:dyDescent="0.2">
      <c r="A2614" s="1164"/>
      <c r="B2614" s="1164"/>
      <c r="D2614" s="1224"/>
    </row>
    <row r="2615" spans="1:4" x14ac:dyDescent="0.2">
      <c r="A2615" s="1164"/>
      <c r="B2615" s="1164"/>
      <c r="D2615" s="1224"/>
    </row>
    <row r="2616" spans="1:4" x14ac:dyDescent="0.2">
      <c r="A2616" s="1164"/>
      <c r="B2616" s="1164"/>
      <c r="D2616" s="1224"/>
    </row>
    <row r="2617" spans="1:4" x14ac:dyDescent="0.2">
      <c r="A2617" s="1164"/>
      <c r="B2617" s="1164"/>
      <c r="D2617" s="1224"/>
    </row>
    <row r="2618" spans="1:4" x14ac:dyDescent="0.2">
      <c r="A2618" s="1164"/>
      <c r="B2618" s="1164"/>
      <c r="D2618" s="1224"/>
    </row>
    <row r="2619" spans="1:4" x14ac:dyDescent="0.2">
      <c r="A2619" s="1164"/>
      <c r="B2619" s="1164"/>
      <c r="D2619" s="1224"/>
    </row>
    <row r="2620" spans="1:4" x14ac:dyDescent="0.2">
      <c r="A2620" s="1164"/>
      <c r="B2620" s="1164"/>
      <c r="D2620" s="1224"/>
    </row>
    <row r="2621" spans="1:4" x14ac:dyDescent="0.2">
      <c r="A2621" s="1164"/>
      <c r="B2621" s="1164"/>
      <c r="D2621" s="1224"/>
    </row>
    <row r="2622" spans="1:4" x14ac:dyDescent="0.2">
      <c r="A2622" s="1164"/>
      <c r="B2622" s="1164"/>
      <c r="D2622" s="1224"/>
    </row>
    <row r="2623" spans="1:4" x14ac:dyDescent="0.2">
      <c r="A2623" s="1164"/>
      <c r="B2623" s="1164"/>
      <c r="D2623" s="1224"/>
    </row>
    <row r="2624" spans="1:4" x14ac:dyDescent="0.2">
      <c r="A2624" s="1164"/>
      <c r="B2624" s="1164"/>
      <c r="D2624" s="1224"/>
    </row>
    <row r="2625" spans="1:4" x14ac:dyDescent="0.2">
      <c r="A2625" s="1164"/>
      <c r="B2625" s="1164"/>
      <c r="D2625" s="1224"/>
    </row>
    <row r="2626" spans="1:4" x14ac:dyDescent="0.2">
      <c r="A2626" s="1164"/>
      <c r="B2626" s="1164"/>
      <c r="D2626" s="1224"/>
    </row>
    <row r="2627" spans="1:4" x14ac:dyDescent="0.2">
      <c r="A2627" s="1164"/>
      <c r="B2627" s="1164"/>
      <c r="D2627" s="1224"/>
    </row>
    <row r="2628" spans="1:4" x14ac:dyDescent="0.2">
      <c r="A2628" s="1164"/>
      <c r="B2628" s="1164"/>
      <c r="D2628" s="1224"/>
    </row>
    <row r="2629" spans="1:4" x14ac:dyDescent="0.2">
      <c r="A2629" s="1164"/>
      <c r="B2629" s="1164"/>
      <c r="D2629" s="1224"/>
    </row>
    <row r="2630" spans="1:4" x14ac:dyDescent="0.2">
      <c r="A2630" s="1164"/>
      <c r="B2630" s="1164"/>
      <c r="D2630" s="1224"/>
    </row>
    <row r="2631" spans="1:4" x14ac:dyDescent="0.2">
      <c r="A2631" s="1164"/>
      <c r="B2631" s="1164"/>
      <c r="D2631" s="1224"/>
    </row>
    <row r="2632" spans="1:4" x14ac:dyDescent="0.2">
      <c r="A2632" s="1164"/>
      <c r="B2632" s="1164"/>
      <c r="D2632" s="1224"/>
    </row>
    <row r="2633" spans="1:4" x14ac:dyDescent="0.2">
      <c r="A2633" s="1164"/>
      <c r="B2633" s="1164"/>
      <c r="D2633" s="1224"/>
    </row>
    <row r="2634" spans="1:4" x14ac:dyDescent="0.2">
      <c r="A2634" s="1164"/>
      <c r="B2634" s="1164"/>
      <c r="D2634" s="1224"/>
    </row>
    <row r="2635" spans="1:4" x14ac:dyDescent="0.2">
      <c r="A2635" s="1164"/>
      <c r="B2635" s="1164"/>
      <c r="D2635" s="1224"/>
    </row>
    <row r="2636" spans="1:4" x14ac:dyDescent="0.2">
      <c r="A2636" s="1164"/>
      <c r="B2636" s="1164"/>
      <c r="D2636" s="1224"/>
    </row>
    <row r="2637" spans="1:4" x14ac:dyDescent="0.2">
      <c r="A2637" s="1164"/>
      <c r="B2637" s="1164"/>
      <c r="D2637" s="1224"/>
    </row>
    <row r="2638" spans="1:4" x14ac:dyDescent="0.2">
      <c r="A2638" s="1164"/>
      <c r="B2638" s="1164"/>
      <c r="D2638" s="1224"/>
    </row>
    <row r="2639" spans="1:4" x14ac:dyDescent="0.2">
      <c r="A2639" s="1164"/>
      <c r="B2639" s="1164"/>
      <c r="D2639" s="1224"/>
    </row>
    <row r="2640" spans="1:4" x14ac:dyDescent="0.2">
      <c r="A2640" s="1164"/>
      <c r="B2640" s="1164"/>
      <c r="D2640" s="1224"/>
    </row>
    <row r="2641" spans="1:4" x14ac:dyDescent="0.2">
      <c r="A2641" s="1164"/>
      <c r="B2641" s="1164"/>
      <c r="D2641" s="1224"/>
    </row>
    <row r="2642" spans="1:4" x14ac:dyDescent="0.2">
      <c r="A2642" s="1164"/>
      <c r="B2642" s="1164"/>
      <c r="D2642" s="1224"/>
    </row>
    <row r="2643" spans="1:4" x14ac:dyDescent="0.2">
      <c r="A2643" s="1164"/>
      <c r="B2643" s="1164"/>
      <c r="D2643" s="1224"/>
    </row>
    <row r="2644" spans="1:4" x14ac:dyDescent="0.2">
      <c r="A2644" s="1164"/>
      <c r="B2644" s="1164"/>
      <c r="D2644" s="1224"/>
    </row>
    <row r="2645" spans="1:4" x14ac:dyDescent="0.2">
      <c r="A2645" s="1164"/>
      <c r="B2645" s="1164"/>
      <c r="D2645" s="1224"/>
    </row>
    <row r="2646" spans="1:4" x14ac:dyDescent="0.2">
      <c r="A2646" s="1164"/>
      <c r="B2646" s="1164"/>
      <c r="D2646" s="1224"/>
    </row>
    <row r="2647" spans="1:4" x14ac:dyDescent="0.2">
      <c r="A2647" s="1164"/>
      <c r="B2647" s="1164"/>
      <c r="D2647" s="1224"/>
    </row>
    <row r="2648" spans="1:4" x14ac:dyDescent="0.2">
      <c r="A2648" s="1164"/>
      <c r="B2648" s="1164"/>
      <c r="D2648" s="1224"/>
    </row>
    <row r="2649" spans="1:4" x14ac:dyDescent="0.2">
      <c r="A2649" s="1164"/>
      <c r="B2649" s="1164"/>
      <c r="D2649" s="1224"/>
    </row>
    <row r="2650" spans="1:4" x14ac:dyDescent="0.2">
      <c r="A2650" s="1164"/>
      <c r="B2650" s="1164"/>
      <c r="D2650" s="1224"/>
    </row>
    <row r="2651" spans="1:4" x14ac:dyDescent="0.2">
      <c r="A2651" s="1164"/>
      <c r="B2651" s="1164"/>
      <c r="D2651" s="1224"/>
    </row>
    <row r="2652" spans="1:4" x14ac:dyDescent="0.2">
      <c r="A2652" s="1164"/>
      <c r="B2652" s="1164"/>
      <c r="D2652" s="1224"/>
    </row>
    <row r="2653" spans="1:4" x14ac:dyDescent="0.2">
      <c r="A2653" s="1164"/>
      <c r="B2653" s="1164"/>
      <c r="D2653" s="1224"/>
    </row>
    <row r="2654" spans="1:4" x14ac:dyDescent="0.2">
      <c r="A2654" s="1164"/>
      <c r="B2654" s="1164"/>
      <c r="D2654" s="1224"/>
    </row>
    <row r="2655" spans="1:4" x14ac:dyDescent="0.2">
      <c r="A2655" s="1164"/>
      <c r="B2655" s="1164"/>
      <c r="D2655" s="1224"/>
    </row>
    <row r="2656" spans="1:4" x14ac:dyDescent="0.2">
      <c r="A2656" s="1164"/>
      <c r="B2656" s="1164"/>
      <c r="D2656" s="1224"/>
    </row>
    <row r="2657" spans="1:4" x14ac:dyDescent="0.2">
      <c r="A2657" s="1164"/>
      <c r="B2657" s="1164"/>
      <c r="D2657" s="1224"/>
    </row>
    <row r="2658" spans="1:4" x14ac:dyDescent="0.2">
      <c r="A2658" s="1164"/>
      <c r="B2658" s="1164"/>
      <c r="D2658" s="1224"/>
    </row>
    <row r="2659" spans="1:4" x14ac:dyDescent="0.2">
      <c r="A2659" s="1164"/>
      <c r="B2659" s="1164"/>
      <c r="D2659" s="1224"/>
    </row>
    <row r="2660" spans="1:4" x14ac:dyDescent="0.2">
      <c r="A2660" s="1164"/>
      <c r="B2660" s="1164"/>
      <c r="D2660" s="1224"/>
    </row>
    <row r="2661" spans="1:4" x14ac:dyDescent="0.2">
      <c r="A2661" s="1164"/>
      <c r="B2661" s="1164"/>
      <c r="D2661" s="1224"/>
    </row>
    <row r="2662" spans="1:4" x14ac:dyDescent="0.2">
      <c r="A2662" s="1164"/>
      <c r="B2662" s="1164"/>
      <c r="D2662" s="1224"/>
    </row>
    <row r="2663" spans="1:4" x14ac:dyDescent="0.2">
      <c r="A2663" s="1164"/>
      <c r="B2663" s="1164"/>
      <c r="D2663" s="1224"/>
    </row>
    <row r="2664" spans="1:4" x14ac:dyDescent="0.2">
      <c r="A2664" s="1164"/>
      <c r="B2664" s="1164"/>
      <c r="D2664" s="1224"/>
    </row>
    <row r="2665" spans="1:4" x14ac:dyDescent="0.2">
      <c r="A2665" s="1164"/>
      <c r="B2665" s="1164"/>
      <c r="D2665" s="1224"/>
    </row>
    <row r="2666" spans="1:4" x14ac:dyDescent="0.2">
      <c r="A2666" s="1164"/>
      <c r="B2666" s="1164"/>
      <c r="D2666" s="1224"/>
    </row>
    <row r="2667" spans="1:4" x14ac:dyDescent="0.2">
      <c r="A2667" s="1164"/>
      <c r="B2667" s="1164"/>
      <c r="D2667" s="1224"/>
    </row>
    <row r="2668" spans="1:4" x14ac:dyDescent="0.2">
      <c r="A2668" s="1164"/>
      <c r="B2668" s="1164"/>
      <c r="D2668" s="1224"/>
    </row>
    <row r="2669" spans="1:4" x14ac:dyDescent="0.2">
      <c r="A2669" s="1164"/>
      <c r="B2669" s="1164"/>
      <c r="D2669" s="1224"/>
    </row>
    <row r="2670" spans="1:4" x14ac:dyDescent="0.2">
      <c r="A2670" s="1164"/>
      <c r="B2670" s="1164"/>
      <c r="D2670" s="1224"/>
    </row>
    <row r="2671" spans="1:4" x14ac:dyDescent="0.2">
      <c r="A2671" s="1164"/>
      <c r="B2671" s="1164"/>
      <c r="D2671" s="1224"/>
    </row>
    <row r="2672" spans="1:4" x14ac:dyDescent="0.2">
      <c r="A2672" s="1164"/>
      <c r="B2672" s="1164"/>
      <c r="D2672" s="1224"/>
    </row>
    <row r="2673" spans="1:4" x14ac:dyDescent="0.2">
      <c r="A2673" s="1164"/>
      <c r="B2673" s="1164"/>
      <c r="D2673" s="1224"/>
    </row>
    <row r="2674" spans="1:4" x14ac:dyDescent="0.2">
      <c r="A2674" s="1164"/>
      <c r="B2674" s="1164"/>
      <c r="D2674" s="1224"/>
    </row>
    <row r="2675" spans="1:4" x14ac:dyDescent="0.2">
      <c r="A2675" s="1164"/>
      <c r="B2675" s="1164"/>
      <c r="D2675" s="1224"/>
    </row>
    <row r="2676" spans="1:4" x14ac:dyDescent="0.2">
      <c r="A2676" s="1164"/>
      <c r="B2676" s="1164"/>
      <c r="D2676" s="1224"/>
    </row>
    <row r="2677" spans="1:4" x14ac:dyDescent="0.2">
      <c r="A2677" s="1164"/>
      <c r="B2677" s="1164"/>
      <c r="D2677" s="1224"/>
    </row>
    <row r="2678" spans="1:4" x14ac:dyDescent="0.2">
      <c r="A2678" s="1164"/>
      <c r="B2678" s="1164"/>
      <c r="D2678" s="1224"/>
    </row>
    <row r="2679" spans="1:4" x14ac:dyDescent="0.2">
      <c r="A2679" s="1164"/>
      <c r="B2679" s="1164"/>
      <c r="D2679" s="1224"/>
    </row>
    <row r="2680" spans="1:4" x14ac:dyDescent="0.2">
      <c r="A2680" s="1164"/>
      <c r="B2680" s="1164"/>
      <c r="D2680" s="1224"/>
    </row>
    <row r="2681" spans="1:4" x14ac:dyDescent="0.2">
      <c r="A2681" s="1164"/>
      <c r="B2681" s="1164"/>
      <c r="D2681" s="1224"/>
    </row>
    <row r="2682" spans="1:4" x14ac:dyDescent="0.2">
      <c r="A2682" s="1164"/>
      <c r="B2682" s="1164"/>
      <c r="D2682" s="1224"/>
    </row>
    <row r="2683" spans="1:4" x14ac:dyDescent="0.2">
      <c r="A2683" s="1164"/>
      <c r="B2683" s="1164"/>
      <c r="D2683" s="1224"/>
    </row>
    <row r="2684" spans="1:4" x14ac:dyDescent="0.2">
      <c r="A2684" s="1164"/>
      <c r="B2684" s="1164"/>
      <c r="D2684" s="1224"/>
    </row>
    <row r="2685" spans="1:4" x14ac:dyDescent="0.2">
      <c r="A2685" s="1164"/>
      <c r="B2685" s="1164"/>
      <c r="D2685" s="1224"/>
    </row>
    <row r="2686" spans="1:4" x14ac:dyDescent="0.2">
      <c r="A2686" s="1164"/>
      <c r="B2686" s="1164"/>
      <c r="D2686" s="1224"/>
    </row>
    <row r="2687" spans="1:4" x14ac:dyDescent="0.2">
      <c r="A2687" s="1164"/>
      <c r="B2687" s="1164"/>
      <c r="D2687" s="1224"/>
    </row>
    <row r="2688" spans="1:4" x14ac:dyDescent="0.2">
      <c r="A2688" s="1164"/>
      <c r="B2688" s="1164"/>
      <c r="D2688" s="1224"/>
    </row>
    <row r="2689" spans="1:4" x14ac:dyDescent="0.2">
      <c r="A2689" s="1164"/>
      <c r="B2689" s="1164"/>
      <c r="D2689" s="1224"/>
    </row>
    <row r="2690" spans="1:4" x14ac:dyDescent="0.2">
      <c r="A2690" s="1164"/>
      <c r="B2690" s="1164"/>
      <c r="D2690" s="1224"/>
    </row>
    <row r="2691" spans="1:4" x14ac:dyDescent="0.2">
      <c r="A2691" s="1164"/>
      <c r="B2691" s="1164"/>
      <c r="D2691" s="1224"/>
    </row>
    <row r="2692" spans="1:4" x14ac:dyDescent="0.2">
      <c r="A2692" s="1164"/>
      <c r="B2692" s="1164"/>
      <c r="D2692" s="1224"/>
    </row>
    <row r="2693" spans="1:4" x14ac:dyDescent="0.2">
      <c r="A2693" s="1164"/>
      <c r="B2693" s="1164"/>
      <c r="D2693" s="1224"/>
    </row>
    <row r="2694" spans="1:4" x14ac:dyDescent="0.2">
      <c r="A2694" s="1164"/>
      <c r="B2694" s="1164"/>
      <c r="D2694" s="1224"/>
    </row>
    <row r="2695" spans="1:4" x14ac:dyDescent="0.2">
      <c r="A2695" s="1164"/>
      <c r="B2695" s="1164"/>
      <c r="D2695" s="1224"/>
    </row>
    <row r="2696" spans="1:4" x14ac:dyDescent="0.2">
      <c r="A2696" s="1164"/>
      <c r="B2696" s="1164"/>
      <c r="D2696" s="1224"/>
    </row>
    <row r="2697" spans="1:4" x14ac:dyDescent="0.2">
      <c r="A2697" s="1164"/>
      <c r="B2697" s="1164"/>
      <c r="D2697" s="1224"/>
    </row>
    <row r="2698" spans="1:4" x14ac:dyDescent="0.2">
      <c r="A2698" s="1164"/>
      <c r="B2698" s="1164"/>
      <c r="D2698" s="1224"/>
    </row>
    <row r="2699" spans="1:4" x14ac:dyDescent="0.2">
      <c r="A2699" s="1164"/>
      <c r="B2699" s="1164"/>
      <c r="D2699" s="1224"/>
    </row>
    <row r="2700" spans="1:4" x14ac:dyDescent="0.2">
      <c r="A2700" s="1164"/>
      <c r="B2700" s="1164"/>
      <c r="D2700" s="1224"/>
    </row>
    <row r="2701" spans="1:4" x14ac:dyDescent="0.2">
      <c r="A2701" s="1164"/>
      <c r="B2701" s="1164"/>
      <c r="D2701" s="1224"/>
    </row>
    <row r="2702" spans="1:4" x14ac:dyDescent="0.2">
      <c r="A2702" s="1164"/>
      <c r="B2702" s="1164"/>
      <c r="D2702" s="1224"/>
    </row>
    <row r="2703" spans="1:4" x14ac:dyDescent="0.2">
      <c r="A2703" s="1164"/>
      <c r="B2703" s="1164"/>
      <c r="D2703" s="1224"/>
    </row>
    <row r="2704" spans="1:4" x14ac:dyDescent="0.2">
      <c r="A2704" s="1164"/>
      <c r="B2704" s="1164"/>
      <c r="D2704" s="1224"/>
    </row>
    <row r="2705" spans="1:4" x14ac:dyDescent="0.2">
      <c r="A2705" s="1164"/>
      <c r="B2705" s="1164"/>
      <c r="D2705" s="1224"/>
    </row>
    <row r="2706" spans="1:4" x14ac:dyDescent="0.2">
      <c r="A2706" s="1164"/>
      <c r="B2706" s="1164"/>
      <c r="D2706" s="1224"/>
    </row>
    <row r="2707" spans="1:4" x14ac:dyDescent="0.2">
      <c r="A2707" s="1164"/>
      <c r="B2707" s="1164"/>
      <c r="D2707" s="1224"/>
    </row>
    <row r="2708" spans="1:4" x14ac:dyDescent="0.2">
      <c r="A2708" s="1164"/>
      <c r="B2708" s="1164"/>
      <c r="D2708" s="1224"/>
    </row>
    <row r="2709" spans="1:4" x14ac:dyDescent="0.2">
      <c r="A2709" s="1164"/>
      <c r="B2709" s="1164"/>
      <c r="D2709" s="1224"/>
    </row>
    <row r="2710" spans="1:4" x14ac:dyDescent="0.2">
      <c r="A2710" s="1164"/>
      <c r="B2710" s="1164"/>
      <c r="D2710" s="1224"/>
    </row>
    <row r="2711" spans="1:4" x14ac:dyDescent="0.2">
      <c r="A2711" s="1164"/>
      <c r="B2711" s="1164"/>
      <c r="D2711" s="1224"/>
    </row>
    <row r="2712" spans="1:4" x14ac:dyDescent="0.2">
      <c r="A2712" s="1164"/>
      <c r="B2712" s="1164"/>
      <c r="D2712" s="1224"/>
    </row>
    <row r="2713" spans="1:4" x14ac:dyDescent="0.2">
      <c r="A2713" s="1164"/>
      <c r="B2713" s="1164"/>
      <c r="D2713" s="1224"/>
    </row>
    <row r="2714" spans="1:4" x14ac:dyDescent="0.2">
      <c r="A2714" s="1164"/>
      <c r="B2714" s="1164"/>
      <c r="D2714" s="1224"/>
    </row>
    <row r="2715" spans="1:4" x14ac:dyDescent="0.2">
      <c r="A2715" s="1164"/>
      <c r="B2715" s="1164"/>
      <c r="D2715" s="1224"/>
    </row>
    <row r="2716" spans="1:4" x14ac:dyDescent="0.2">
      <c r="A2716" s="1164"/>
      <c r="B2716" s="1164"/>
      <c r="D2716" s="1224"/>
    </row>
    <row r="2717" spans="1:4" x14ac:dyDescent="0.2">
      <c r="A2717" s="1164"/>
      <c r="B2717" s="1164"/>
      <c r="D2717" s="1224"/>
    </row>
    <row r="2718" spans="1:4" x14ac:dyDescent="0.2">
      <c r="A2718" s="1164"/>
      <c r="B2718" s="1164"/>
      <c r="D2718" s="1224"/>
    </row>
    <row r="2719" spans="1:4" x14ac:dyDescent="0.2">
      <c r="A2719" s="1164"/>
      <c r="B2719" s="1164"/>
      <c r="D2719" s="1224"/>
    </row>
    <row r="2720" spans="1:4" x14ac:dyDescent="0.2">
      <c r="A2720" s="1164"/>
      <c r="B2720" s="1164"/>
      <c r="D2720" s="1224"/>
    </row>
    <row r="2721" spans="1:4" x14ac:dyDescent="0.2">
      <c r="A2721" s="1164"/>
      <c r="B2721" s="1164"/>
      <c r="D2721" s="1224"/>
    </row>
    <row r="2722" spans="1:4" x14ac:dyDescent="0.2">
      <c r="A2722" s="1164"/>
      <c r="B2722" s="1164"/>
      <c r="D2722" s="1224"/>
    </row>
    <row r="2723" spans="1:4" x14ac:dyDescent="0.2">
      <c r="A2723" s="1164"/>
      <c r="B2723" s="1164"/>
      <c r="D2723" s="1224"/>
    </row>
    <row r="2724" spans="1:4" x14ac:dyDescent="0.2">
      <c r="A2724" s="1164"/>
      <c r="B2724" s="1164"/>
      <c r="D2724" s="1224"/>
    </row>
    <row r="2725" spans="1:4" x14ac:dyDescent="0.2">
      <c r="A2725" s="1164"/>
      <c r="B2725" s="1164"/>
      <c r="D2725" s="1224"/>
    </row>
    <row r="2726" spans="1:4" x14ac:dyDescent="0.2">
      <c r="A2726" s="1164"/>
      <c r="B2726" s="1164"/>
      <c r="D2726" s="1224"/>
    </row>
    <row r="2727" spans="1:4" x14ac:dyDescent="0.2">
      <c r="A2727" s="1164"/>
      <c r="B2727" s="1164"/>
      <c r="D2727" s="1224"/>
    </row>
    <row r="2728" spans="1:4" x14ac:dyDescent="0.2">
      <c r="A2728" s="1164"/>
      <c r="B2728" s="1164"/>
      <c r="D2728" s="1224"/>
    </row>
    <row r="2729" spans="1:4" x14ac:dyDescent="0.2">
      <c r="A2729" s="1164"/>
      <c r="B2729" s="1164"/>
      <c r="D2729" s="1224"/>
    </row>
    <row r="2730" spans="1:4" x14ac:dyDescent="0.2">
      <c r="A2730" s="1164"/>
      <c r="B2730" s="1164"/>
      <c r="D2730" s="1224"/>
    </row>
    <row r="2731" spans="1:4" x14ac:dyDescent="0.2">
      <c r="A2731" s="1164"/>
      <c r="B2731" s="1164"/>
      <c r="D2731" s="1224"/>
    </row>
    <row r="2732" spans="1:4" x14ac:dyDescent="0.2">
      <c r="A2732" s="1164"/>
      <c r="B2732" s="1164"/>
      <c r="D2732" s="1224"/>
    </row>
    <row r="2733" spans="1:4" x14ac:dyDescent="0.2">
      <c r="A2733" s="1164"/>
      <c r="B2733" s="1164"/>
      <c r="D2733" s="1224"/>
    </row>
    <row r="2734" spans="1:4" x14ac:dyDescent="0.2">
      <c r="A2734" s="1164"/>
      <c r="B2734" s="1164"/>
      <c r="D2734" s="1224"/>
    </row>
    <row r="2735" spans="1:4" x14ac:dyDescent="0.2">
      <c r="A2735" s="1164"/>
      <c r="B2735" s="1164"/>
      <c r="D2735" s="1224"/>
    </row>
    <row r="2736" spans="1:4" x14ac:dyDescent="0.2">
      <c r="A2736" s="1164"/>
      <c r="B2736" s="1164"/>
      <c r="D2736" s="1224"/>
    </row>
    <row r="2737" spans="1:4" x14ac:dyDescent="0.2">
      <c r="A2737" s="1164"/>
      <c r="B2737" s="1164"/>
      <c r="D2737" s="1224"/>
    </row>
    <row r="2738" spans="1:4" x14ac:dyDescent="0.2">
      <c r="A2738" s="1164"/>
      <c r="B2738" s="1164"/>
      <c r="D2738" s="1224"/>
    </row>
    <row r="2739" spans="1:4" x14ac:dyDescent="0.2">
      <c r="A2739" s="1164"/>
      <c r="B2739" s="1164"/>
      <c r="D2739" s="1224"/>
    </row>
    <row r="2740" spans="1:4" x14ac:dyDescent="0.2">
      <c r="A2740" s="1164"/>
      <c r="B2740" s="1164"/>
      <c r="D2740" s="1224"/>
    </row>
    <row r="2741" spans="1:4" x14ac:dyDescent="0.2">
      <c r="A2741" s="1164"/>
      <c r="B2741" s="1164"/>
      <c r="D2741" s="1224"/>
    </row>
    <row r="2742" spans="1:4" x14ac:dyDescent="0.2">
      <c r="A2742" s="1164"/>
      <c r="B2742" s="1164"/>
      <c r="D2742" s="1224"/>
    </row>
    <row r="2743" spans="1:4" x14ac:dyDescent="0.2">
      <c r="A2743" s="1164"/>
      <c r="B2743" s="1164"/>
      <c r="D2743" s="1224"/>
    </row>
    <row r="2744" spans="1:4" x14ac:dyDescent="0.2">
      <c r="A2744" s="1164"/>
      <c r="B2744" s="1164"/>
      <c r="D2744" s="1224"/>
    </row>
    <row r="2745" spans="1:4" x14ac:dyDescent="0.2">
      <c r="A2745" s="1164"/>
      <c r="B2745" s="1164"/>
      <c r="D2745" s="1224"/>
    </row>
    <row r="2746" spans="1:4" x14ac:dyDescent="0.2">
      <c r="A2746" s="1164"/>
      <c r="B2746" s="1164"/>
      <c r="D2746" s="1224"/>
    </row>
    <row r="2747" spans="1:4" x14ac:dyDescent="0.2">
      <c r="A2747" s="1164"/>
      <c r="B2747" s="1164"/>
      <c r="D2747" s="1224"/>
    </row>
    <row r="2748" spans="1:4" x14ac:dyDescent="0.2">
      <c r="A2748" s="1164"/>
      <c r="B2748" s="1164"/>
      <c r="D2748" s="1224"/>
    </row>
    <row r="2749" spans="1:4" x14ac:dyDescent="0.2">
      <c r="A2749" s="1164"/>
      <c r="B2749" s="1164"/>
      <c r="D2749" s="1224"/>
    </row>
    <row r="2750" spans="1:4" x14ac:dyDescent="0.2">
      <c r="A2750" s="1164"/>
      <c r="B2750" s="1164"/>
      <c r="D2750" s="1224"/>
    </row>
    <row r="2751" spans="1:4" x14ac:dyDescent="0.2">
      <c r="A2751" s="1164"/>
      <c r="B2751" s="1164"/>
      <c r="D2751" s="1224"/>
    </row>
    <row r="2752" spans="1:4" x14ac:dyDescent="0.2">
      <c r="A2752" s="1164"/>
      <c r="B2752" s="1164"/>
      <c r="D2752" s="1224"/>
    </row>
    <row r="2753" spans="1:4" x14ac:dyDescent="0.2">
      <c r="A2753" s="1164"/>
      <c r="B2753" s="1164"/>
      <c r="D2753" s="1224"/>
    </row>
    <row r="2754" spans="1:4" x14ac:dyDescent="0.2">
      <c r="A2754" s="1164"/>
      <c r="B2754" s="1164"/>
      <c r="D2754" s="1224"/>
    </row>
    <row r="2755" spans="1:4" x14ac:dyDescent="0.2">
      <c r="A2755" s="1164"/>
      <c r="B2755" s="1164"/>
      <c r="D2755" s="1224"/>
    </row>
    <row r="2756" spans="1:4" x14ac:dyDescent="0.2">
      <c r="A2756" s="1164"/>
      <c r="B2756" s="1164"/>
      <c r="D2756" s="1224"/>
    </row>
    <row r="2757" spans="1:4" x14ac:dyDescent="0.2">
      <c r="A2757" s="1164"/>
      <c r="B2757" s="1164"/>
      <c r="D2757" s="1224"/>
    </row>
    <row r="2758" spans="1:4" x14ac:dyDescent="0.2">
      <c r="A2758" s="1164"/>
      <c r="B2758" s="1164"/>
      <c r="D2758" s="1224"/>
    </row>
    <row r="2759" spans="1:4" x14ac:dyDescent="0.2">
      <c r="A2759" s="1164"/>
      <c r="B2759" s="1164"/>
      <c r="D2759" s="1224"/>
    </row>
    <row r="2760" spans="1:4" x14ac:dyDescent="0.2">
      <c r="A2760" s="1164"/>
      <c r="B2760" s="1164"/>
      <c r="D2760" s="1224"/>
    </row>
    <row r="2761" spans="1:4" x14ac:dyDescent="0.2">
      <c r="A2761" s="1164"/>
      <c r="B2761" s="1164"/>
      <c r="D2761" s="1224"/>
    </row>
    <row r="2762" spans="1:4" x14ac:dyDescent="0.2">
      <c r="A2762" s="1164"/>
      <c r="B2762" s="1164"/>
      <c r="D2762" s="1224"/>
    </row>
    <row r="2763" spans="1:4" x14ac:dyDescent="0.2">
      <c r="A2763" s="1164"/>
      <c r="B2763" s="1164"/>
      <c r="D2763" s="1224"/>
    </row>
    <row r="2764" spans="1:4" x14ac:dyDescent="0.2">
      <c r="A2764" s="1164"/>
      <c r="B2764" s="1164"/>
      <c r="D2764" s="1224"/>
    </row>
    <row r="2765" spans="1:4" x14ac:dyDescent="0.2">
      <c r="A2765" s="1164"/>
      <c r="B2765" s="1164"/>
      <c r="D2765" s="1224"/>
    </row>
    <row r="2766" spans="1:4" x14ac:dyDescent="0.2">
      <c r="A2766" s="1164"/>
      <c r="B2766" s="1164"/>
      <c r="D2766" s="1224"/>
    </row>
    <row r="2767" spans="1:4" x14ac:dyDescent="0.2">
      <c r="A2767" s="1164"/>
      <c r="B2767" s="1164"/>
      <c r="D2767" s="1224"/>
    </row>
    <row r="2768" spans="1:4" x14ac:dyDescent="0.2">
      <c r="A2768" s="1164"/>
      <c r="B2768" s="1164"/>
      <c r="D2768" s="1224"/>
    </row>
    <row r="2769" spans="1:4" x14ac:dyDescent="0.2">
      <c r="A2769" s="1164"/>
      <c r="B2769" s="1164"/>
      <c r="D2769" s="1224"/>
    </row>
    <row r="2770" spans="1:4" x14ac:dyDescent="0.2">
      <c r="A2770" s="1164"/>
      <c r="B2770" s="1164"/>
      <c r="D2770" s="1224"/>
    </row>
    <row r="2771" spans="1:4" x14ac:dyDescent="0.2">
      <c r="A2771" s="1164"/>
      <c r="B2771" s="1164"/>
      <c r="D2771" s="1224"/>
    </row>
    <row r="2772" spans="1:4" x14ac:dyDescent="0.2">
      <c r="A2772" s="1164"/>
      <c r="B2772" s="1164"/>
      <c r="D2772" s="1224"/>
    </row>
    <row r="2773" spans="1:4" x14ac:dyDescent="0.2">
      <c r="A2773" s="1164"/>
      <c r="B2773" s="1164"/>
      <c r="D2773" s="1224"/>
    </row>
    <row r="2774" spans="1:4" x14ac:dyDescent="0.2">
      <c r="A2774" s="1164"/>
      <c r="B2774" s="1164"/>
      <c r="D2774" s="1224"/>
    </row>
    <row r="2775" spans="1:4" x14ac:dyDescent="0.2">
      <c r="A2775" s="1164"/>
      <c r="B2775" s="1164"/>
      <c r="D2775" s="1224"/>
    </row>
    <row r="2776" spans="1:4" x14ac:dyDescent="0.2">
      <c r="A2776" s="1164"/>
      <c r="B2776" s="1164"/>
      <c r="D2776" s="1224"/>
    </row>
    <row r="2777" spans="1:4" x14ac:dyDescent="0.2">
      <c r="A2777" s="1164"/>
      <c r="B2777" s="1164"/>
      <c r="D2777" s="1224"/>
    </row>
    <row r="2778" spans="1:4" x14ac:dyDescent="0.2">
      <c r="A2778" s="1164"/>
      <c r="B2778" s="1164"/>
      <c r="D2778" s="1224"/>
    </row>
    <row r="2779" spans="1:4" x14ac:dyDescent="0.2">
      <c r="A2779" s="1164"/>
      <c r="B2779" s="1164"/>
      <c r="D2779" s="1224"/>
    </row>
    <row r="2780" spans="1:4" x14ac:dyDescent="0.2">
      <c r="A2780" s="1164"/>
      <c r="B2780" s="1164"/>
      <c r="D2780" s="1224"/>
    </row>
    <row r="2781" spans="1:4" x14ac:dyDescent="0.2">
      <c r="A2781" s="1164"/>
      <c r="B2781" s="1164"/>
      <c r="D2781" s="1224"/>
    </row>
    <row r="2782" spans="1:4" x14ac:dyDescent="0.2">
      <c r="A2782" s="1164"/>
      <c r="B2782" s="1164"/>
      <c r="D2782" s="1224"/>
    </row>
    <row r="2783" spans="1:4" x14ac:dyDescent="0.2">
      <c r="A2783" s="1164"/>
      <c r="B2783" s="1164"/>
      <c r="D2783" s="1224"/>
    </row>
    <row r="2784" spans="1:4" x14ac:dyDescent="0.2">
      <c r="A2784" s="1164"/>
      <c r="B2784" s="1164"/>
      <c r="D2784" s="1224"/>
    </row>
    <row r="2785" spans="1:4" x14ac:dyDescent="0.2">
      <c r="A2785" s="1164"/>
      <c r="B2785" s="1164"/>
      <c r="D2785" s="1224"/>
    </row>
    <row r="2786" spans="1:4" x14ac:dyDescent="0.2">
      <c r="A2786" s="1164"/>
      <c r="B2786" s="1164"/>
      <c r="D2786" s="1224"/>
    </row>
    <row r="2787" spans="1:4" x14ac:dyDescent="0.2">
      <c r="A2787" s="1164"/>
      <c r="B2787" s="1164"/>
      <c r="D2787" s="1224"/>
    </row>
    <row r="2788" spans="1:4" x14ac:dyDescent="0.2">
      <c r="A2788" s="1164"/>
      <c r="B2788" s="1164"/>
      <c r="D2788" s="1224"/>
    </row>
    <row r="2789" spans="1:4" x14ac:dyDescent="0.2">
      <c r="A2789" s="1164"/>
      <c r="B2789" s="1164"/>
      <c r="D2789" s="1224"/>
    </row>
    <row r="2790" spans="1:4" x14ac:dyDescent="0.2">
      <c r="A2790" s="1164"/>
      <c r="B2790" s="1164"/>
      <c r="D2790" s="1224"/>
    </row>
    <row r="2791" spans="1:4" x14ac:dyDescent="0.2">
      <c r="A2791" s="1164"/>
      <c r="B2791" s="1164"/>
      <c r="D2791" s="1224"/>
    </row>
    <row r="2792" spans="1:4" x14ac:dyDescent="0.2">
      <c r="A2792" s="1164"/>
      <c r="B2792" s="1164"/>
      <c r="D2792" s="1224"/>
    </row>
    <row r="2793" spans="1:4" x14ac:dyDescent="0.2">
      <c r="A2793" s="1164"/>
      <c r="B2793" s="1164"/>
      <c r="D2793" s="1224"/>
    </row>
    <row r="2794" spans="1:4" x14ac:dyDescent="0.2">
      <c r="A2794" s="1164"/>
      <c r="B2794" s="1164"/>
      <c r="D2794" s="1224"/>
    </row>
    <row r="2795" spans="1:4" x14ac:dyDescent="0.2">
      <c r="A2795" s="1164"/>
      <c r="B2795" s="1164"/>
      <c r="D2795" s="1224"/>
    </row>
    <row r="2796" spans="1:4" x14ac:dyDescent="0.2">
      <c r="A2796" s="1164"/>
      <c r="B2796" s="1164"/>
      <c r="D2796" s="1224"/>
    </row>
    <row r="2797" spans="1:4" x14ac:dyDescent="0.2">
      <c r="A2797" s="1164"/>
      <c r="B2797" s="1164"/>
      <c r="D2797" s="1224"/>
    </row>
    <row r="2798" spans="1:4" x14ac:dyDescent="0.2">
      <c r="A2798" s="1164"/>
      <c r="B2798" s="1164"/>
      <c r="D2798" s="1224"/>
    </row>
    <row r="2799" spans="1:4" x14ac:dyDescent="0.2">
      <c r="A2799" s="1164"/>
      <c r="B2799" s="1164"/>
      <c r="D2799" s="1224"/>
    </row>
    <row r="2800" spans="1:4" x14ac:dyDescent="0.2">
      <c r="A2800" s="1164"/>
      <c r="B2800" s="1164"/>
      <c r="D2800" s="1224"/>
    </row>
    <row r="2801" spans="1:4" x14ac:dyDescent="0.2">
      <c r="A2801" s="1164"/>
      <c r="B2801" s="1164"/>
      <c r="D2801" s="1224"/>
    </row>
    <row r="2802" spans="1:4" x14ac:dyDescent="0.2">
      <c r="A2802" s="1164"/>
      <c r="B2802" s="1164"/>
      <c r="D2802" s="1224"/>
    </row>
    <row r="2803" spans="1:4" x14ac:dyDescent="0.2">
      <c r="A2803" s="1164"/>
      <c r="B2803" s="1164"/>
      <c r="D2803" s="1224"/>
    </row>
    <row r="2804" spans="1:4" x14ac:dyDescent="0.2">
      <c r="A2804" s="1164"/>
      <c r="B2804" s="1164"/>
      <c r="D2804" s="1224"/>
    </row>
    <row r="2805" spans="1:4" x14ac:dyDescent="0.2">
      <c r="A2805" s="1164"/>
      <c r="B2805" s="1164"/>
      <c r="D2805" s="1224"/>
    </row>
    <row r="2806" spans="1:4" x14ac:dyDescent="0.2">
      <c r="A2806" s="1164"/>
      <c r="B2806" s="1164"/>
      <c r="D2806" s="1224"/>
    </row>
    <row r="2807" spans="1:4" x14ac:dyDescent="0.2">
      <c r="A2807" s="1164"/>
      <c r="B2807" s="1164"/>
      <c r="D2807" s="1224"/>
    </row>
    <row r="2808" spans="1:4" x14ac:dyDescent="0.2">
      <c r="A2808" s="1164"/>
      <c r="B2808" s="1164"/>
      <c r="D2808" s="1224"/>
    </row>
    <row r="2809" spans="1:4" x14ac:dyDescent="0.2">
      <c r="A2809" s="1164"/>
      <c r="B2809" s="1164"/>
      <c r="D2809" s="1224"/>
    </row>
    <row r="2810" spans="1:4" x14ac:dyDescent="0.2">
      <c r="A2810" s="1164"/>
      <c r="B2810" s="1164"/>
      <c r="D2810" s="1224"/>
    </row>
    <row r="2811" spans="1:4" x14ac:dyDescent="0.2">
      <c r="A2811" s="1164"/>
      <c r="B2811" s="1164"/>
      <c r="D2811" s="1224"/>
    </row>
    <row r="2812" spans="1:4" x14ac:dyDescent="0.2">
      <c r="A2812" s="1164"/>
      <c r="B2812" s="1164"/>
      <c r="D2812" s="1224"/>
    </row>
    <row r="2813" spans="1:4" x14ac:dyDescent="0.2">
      <c r="A2813" s="1164"/>
      <c r="B2813" s="1164"/>
      <c r="D2813" s="1224"/>
    </row>
    <row r="2814" spans="1:4" x14ac:dyDescent="0.2">
      <c r="A2814" s="1164"/>
      <c r="B2814" s="1164"/>
      <c r="D2814" s="1224"/>
    </row>
    <row r="2815" spans="1:4" x14ac:dyDescent="0.2">
      <c r="A2815" s="1164"/>
      <c r="B2815" s="1164"/>
      <c r="D2815" s="1224"/>
    </row>
    <row r="2816" spans="1:4" x14ac:dyDescent="0.2">
      <c r="A2816" s="1164"/>
      <c r="B2816" s="1164"/>
      <c r="D2816" s="1224"/>
    </row>
    <row r="2817" spans="1:4" x14ac:dyDescent="0.2">
      <c r="A2817" s="1164"/>
      <c r="B2817" s="1164"/>
      <c r="D2817" s="1224"/>
    </row>
    <row r="2818" spans="1:4" x14ac:dyDescent="0.2">
      <c r="A2818" s="1164"/>
      <c r="B2818" s="1164"/>
      <c r="D2818" s="1224"/>
    </row>
    <row r="2819" spans="1:4" x14ac:dyDescent="0.2">
      <c r="A2819" s="1164"/>
      <c r="B2819" s="1164"/>
      <c r="D2819" s="1224"/>
    </row>
    <row r="2820" spans="1:4" x14ac:dyDescent="0.2">
      <c r="A2820" s="1164"/>
      <c r="B2820" s="1164"/>
      <c r="D2820" s="1224"/>
    </row>
    <row r="2821" spans="1:4" x14ac:dyDescent="0.2">
      <c r="A2821" s="1164"/>
      <c r="B2821" s="1164"/>
      <c r="D2821" s="1224"/>
    </row>
    <row r="2822" spans="1:4" x14ac:dyDescent="0.2">
      <c r="A2822" s="1164"/>
      <c r="B2822" s="1164"/>
      <c r="D2822" s="1224"/>
    </row>
    <row r="2823" spans="1:4" x14ac:dyDescent="0.2">
      <c r="A2823" s="1164"/>
      <c r="B2823" s="1164"/>
      <c r="D2823" s="1224"/>
    </row>
    <row r="2824" spans="1:4" x14ac:dyDescent="0.2">
      <c r="A2824" s="1164"/>
      <c r="B2824" s="1164"/>
      <c r="D2824" s="1224"/>
    </row>
    <row r="2825" spans="1:4" x14ac:dyDescent="0.2">
      <c r="A2825" s="1164"/>
      <c r="B2825" s="1164"/>
      <c r="D2825" s="1224"/>
    </row>
    <row r="2826" spans="1:4" x14ac:dyDescent="0.2">
      <c r="A2826" s="1164"/>
      <c r="B2826" s="1164"/>
      <c r="D2826" s="1224"/>
    </row>
    <row r="2827" spans="1:4" x14ac:dyDescent="0.2">
      <c r="A2827" s="1164"/>
      <c r="B2827" s="1164"/>
      <c r="D2827" s="1224"/>
    </row>
    <row r="2828" spans="1:4" x14ac:dyDescent="0.2">
      <c r="A2828" s="1164"/>
      <c r="B2828" s="1164"/>
      <c r="D2828" s="1224"/>
    </row>
    <row r="2829" spans="1:4" x14ac:dyDescent="0.2">
      <c r="A2829" s="1164"/>
      <c r="B2829" s="1164"/>
      <c r="D2829" s="1224"/>
    </row>
    <row r="2830" spans="1:4" x14ac:dyDescent="0.2">
      <c r="A2830" s="1164"/>
      <c r="B2830" s="1164"/>
      <c r="D2830" s="1224"/>
    </row>
    <row r="2831" spans="1:4" x14ac:dyDescent="0.2">
      <c r="A2831" s="1164"/>
      <c r="B2831" s="1164"/>
      <c r="D2831" s="1224"/>
    </row>
    <row r="2832" spans="1:4" x14ac:dyDescent="0.2">
      <c r="A2832" s="1164"/>
      <c r="B2832" s="1164"/>
      <c r="D2832" s="1224"/>
    </row>
    <row r="2833" spans="1:4" x14ac:dyDescent="0.2">
      <c r="A2833" s="1164"/>
      <c r="B2833" s="1164"/>
      <c r="D2833" s="1224"/>
    </row>
    <row r="2834" spans="1:4" x14ac:dyDescent="0.2">
      <c r="A2834" s="1164"/>
      <c r="B2834" s="1164"/>
      <c r="D2834" s="1224"/>
    </row>
    <row r="2835" spans="1:4" x14ac:dyDescent="0.2">
      <c r="A2835" s="1164"/>
      <c r="B2835" s="1164"/>
      <c r="D2835" s="1224"/>
    </row>
    <row r="2836" spans="1:4" x14ac:dyDescent="0.2">
      <c r="A2836" s="1164"/>
      <c r="B2836" s="1164"/>
      <c r="D2836" s="1224"/>
    </row>
    <row r="2837" spans="1:4" x14ac:dyDescent="0.2">
      <c r="A2837" s="1164"/>
      <c r="B2837" s="1164"/>
      <c r="D2837" s="1224"/>
    </row>
    <row r="2838" spans="1:4" x14ac:dyDescent="0.2">
      <c r="A2838" s="1164"/>
      <c r="B2838" s="1164"/>
      <c r="D2838" s="1224"/>
    </row>
    <row r="2839" spans="1:4" x14ac:dyDescent="0.2">
      <c r="A2839" s="1164"/>
      <c r="B2839" s="1164"/>
      <c r="D2839" s="1224"/>
    </row>
    <row r="2840" spans="1:4" x14ac:dyDescent="0.2">
      <c r="A2840" s="1164"/>
      <c r="B2840" s="1164"/>
      <c r="D2840" s="1224"/>
    </row>
    <row r="2841" spans="1:4" x14ac:dyDescent="0.2">
      <c r="A2841" s="1164"/>
      <c r="B2841" s="1164"/>
      <c r="D2841" s="1224"/>
    </row>
    <row r="2842" spans="1:4" x14ac:dyDescent="0.2">
      <c r="A2842" s="1164"/>
      <c r="B2842" s="1164"/>
      <c r="D2842" s="1224"/>
    </row>
    <row r="2843" spans="1:4" x14ac:dyDescent="0.2">
      <c r="A2843" s="1164"/>
      <c r="B2843" s="1164"/>
      <c r="D2843" s="1224"/>
    </row>
    <row r="2844" spans="1:4" x14ac:dyDescent="0.2">
      <c r="A2844" s="1164"/>
      <c r="B2844" s="1164"/>
      <c r="D2844" s="1224"/>
    </row>
    <row r="2845" spans="1:4" x14ac:dyDescent="0.2">
      <c r="A2845" s="1164"/>
      <c r="B2845" s="1164"/>
      <c r="D2845" s="1224"/>
    </row>
    <row r="2846" spans="1:4" x14ac:dyDescent="0.2">
      <c r="A2846" s="1164"/>
      <c r="B2846" s="1164"/>
      <c r="D2846" s="1224"/>
    </row>
    <row r="2847" spans="1:4" x14ac:dyDescent="0.2">
      <c r="A2847" s="1164"/>
      <c r="B2847" s="1164"/>
      <c r="D2847" s="1224"/>
    </row>
    <row r="2848" spans="1:4" x14ac:dyDescent="0.2">
      <c r="A2848" s="1164"/>
      <c r="B2848" s="1164"/>
      <c r="D2848" s="1224"/>
    </row>
    <row r="2849" spans="1:4" x14ac:dyDescent="0.2">
      <c r="A2849" s="1164"/>
      <c r="B2849" s="1164"/>
      <c r="D2849" s="1224"/>
    </row>
    <row r="2850" spans="1:4" x14ac:dyDescent="0.2">
      <c r="A2850" s="1164"/>
      <c r="B2850" s="1164"/>
      <c r="D2850" s="1224"/>
    </row>
    <row r="2851" spans="1:4" x14ac:dyDescent="0.2">
      <c r="A2851" s="1164"/>
      <c r="B2851" s="1164"/>
      <c r="D2851" s="1224"/>
    </row>
    <row r="2852" spans="1:4" x14ac:dyDescent="0.2">
      <c r="A2852" s="1164"/>
      <c r="B2852" s="1164"/>
      <c r="D2852" s="1224"/>
    </row>
    <row r="2853" spans="1:4" x14ac:dyDescent="0.2">
      <c r="A2853" s="1164"/>
      <c r="B2853" s="1164"/>
      <c r="D2853" s="1224"/>
    </row>
    <row r="2854" spans="1:4" x14ac:dyDescent="0.2">
      <c r="A2854" s="1164"/>
      <c r="B2854" s="1164"/>
      <c r="D2854" s="1224"/>
    </row>
    <row r="2855" spans="1:4" x14ac:dyDescent="0.2">
      <c r="A2855" s="1164"/>
      <c r="B2855" s="1164"/>
      <c r="D2855" s="1224"/>
    </row>
    <row r="2856" spans="1:4" x14ac:dyDescent="0.2">
      <c r="A2856" s="1164"/>
      <c r="B2856" s="1164"/>
      <c r="D2856" s="1224"/>
    </row>
    <row r="2857" spans="1:4" x14ac:dyDescent="0.2">
      <c r="A2857" s="1164"/>
      <c r="B2857" s="1164"/>
      <c r="D2857" s="1224"/>
    </row>
    <row r="2858" spans="1:4" x14ac:dyDescent="0.2">
      <c r="A2858" s="1164"/>
      <c r="B2858" s="1164"/>
      <c r="D2858" s="1224"/>
    </row>
    <row r="2859" spans="1:4" x14ac:dyDescent="0.2">
      <c r="A2859" s="1164"/>
      <c r="B2859" s="1164"/>
      <c r="D2859" s="1224"/>
    </row>
    <row r="2860" spans="1:4" x14ac:dyDescent="0.2">
      <c r="A2860" s="1164"/>
      <c r="B2860" s="1164"/>
      <c r="D2860" s="1224"/>
    </row>
    <row r="2861" spans="1:4" x14ac:dyDescent="0.2">
      <c r="A2861" s="1164"/>
      <c r="B2861" s="1164"/>
      <c r="D2861" s="1224"/>
    </row>
    <row r="2862" spans="1:4" x14ac:dyDescent="0.2">
      <c r="A2862" s="1164"/>
      <c r="B2862" s="1164"/>
      <c r="D2862" s="1224"/>
    </row>
    <row r="2863" spans="1:4" x14ac:dyDescent="0.2">
      <c r="A2863" s="1164"/>
      <c r="B2863" s="1164"/>
      <c r="D2863" s="1224"/>
    </row>
    <row r="2864" spans="1:4" x14ac:dyDescent="0.2">
      <c r="A2864" s="1164"/>
      <c r="B2864" s="1164"/>
      <c r="D2864" s="1224"/>
    </row>
    <row r="2865" spans="1:4" x14ac:dyDescent="0.2">
      <c r="A2865" s="1164"/>
      <c r="B2865" s="1164"/>
      <c r="D2865" s="1224"/>
    </row>
    <row r="2866" spans="1:4" x14ac:dyDescent="0.2">
      <c r="A2866" s="1164"/>
      <c r="B2866" s="1164"/>
      <c r="D2866" s="1224"/>
    </row>
    <row r="2867" spans="1:4" x14ac:dyDescent="0.2">
      <c r="A2867" s="1164"/>
      <c r="B2867" s="1164"/>
      <c r="D2867" s="1224"/>
    </row>
    <row r="2868" spans="1:4" x14ac:dyDescent="0.2">
      <c r="A2868" s="1164"/>
      <c r="B2868" s="1164"/>
      <c r="D2868" s="1224"/>
    </row>
    <row r="2869" spans="1:4" x14ac:dyDescent="0.2">
      <c r="A2869" s="1164"/>
      <c r="B2869" s="1164"/>
      <c r="D2869" s="1224"/>
    </row>
    <row r="2870" spans="1:4" x14ac:dyDescent="0.2">
      <c r="A2870" s="1164"/>
      <c r="B2870" s="1164"/>
      <c r="D2870" s="1224"/>
    </row>
    <row r="2871" spans="1:4" x14ac:dyDescent="0.2">
      <c r="A2871" s="1164"/>
      <c r="B2871" s="1164"/>
      <c r="D2871" s="1224"/>
    </row>
    <row r="2872" spans="1:4" x14ac:dyDescent="0.2">
      <c r="A2872" s="1164"/>
      <c r="B2872" s="1164"/>
      <c r="D2872" s="1224"/>
    </row>
    <row r="2873" spans="1:4" x14ac:dyDescent="0.2">
      <c r="A2873" s="1164"/>
      <c r="B2873" s="1164"/>
      <c r="D2873" s="1224"/>
    </row>
    <row r="2874" spans="1:4" x14ac:dyDescent="0.2">
      <c r="A2874" s="1164"/>
      <c r="B2874" s="1164"/>
      <c r="D2874" s="1224"/>
    </row>
    <row r="2875" spans="1:4" x14ac:dyDescent="0.2">
      <c r="A2875" s="1164"/>
      <c r="B2875" s="1164"/>
      <c r="D2875" s="1224"/>
    </row>
    <row r="2876" spans="1:4" x14ac:dyDescent="0.2">
      <c r="A2876" s="1164"/>
      <c r="B2876" s="1164"/>
      <c r="D2876" s="1224"/>
    </row>
    <row r="2877" spans="1:4" x14ac:dyDescent="0.2">
      <c r="A2877" s="1164"/>
      <c r="B2877" s="1164"/>
      <c r="D2877" s="1224"/>
    </row>
    <row r="2878" spans="1:4" x14ac:dyDescent="0.2">
      <c r="A2878" s="1164"/>
      <c r="B2878" s="1164"/>
      <c r="D2878" s="1224"/>
    </row>
    <row r="2879" spans="1:4" x14ac:dyDescent="0.2">
      <c r="A2879" s="1164"/>
      <c r="B2879" s="1164"/>
      <c r="D2879" s="1224"/>
    </row>
    <row r="2880" spans="1:4" x14ac:dyDescent="0.2">
      <c r="A2880" s="1164"/>
      <c r="B2880" s="1164"/>
      <c r="D2880" s="1224"/>
    </row>
    <row r="2881" spans="1:4" x14ac:dyDescent="0.2">
      <c r="A2881" s="1164"/>
      <c r="B2881" s="1164"/>
      <c r="D2881" s="1224"/>
    </row>
    <row r="2882" spans="1:4" x14ac:dyDescent="0.2">
      <c r="A2882" s="1164"/>
      <c r="B2882" s="1164"/>
      <c r="D2882" s="1224"/>
    </row>
    <row r="2883" spans="1:4" x14ac:dyDescent="0.2">
      <c r="A2883" s="1164"/>
      <c r="B2883" s="1164"/>
      <c r="D2883" s="1224"/>
    </row>
    <row r="2884" spans="1:4" x14ac:dyDescent="0.2">
      <c r="A2884" s="1164"/>
      <c r="B2884" s="1164"/>
      <c r="D2884" s="1224"/>
    </row>
    <row r="2885" spans="1:4" x14ac:dyDescent="0.2">
      <c r="A2885" s="1164"/>
      <c r="B2885" s="1164"/>
      <c r="D2885" s="1224"/>
    </row>
    <row r="2886" spans="1:4" x14ac:dyDescent="0.2">
      <c r="A2886" s="1164"/>
      <c r="B2886" s="1164"/>
      <c r="D2886" s="1224"/>
    </row>
    <row r="2887" spans="1:4" x14ac:dyDescent="0.2">
      <c r="A2887" s="1164"/>
      <c r="B2887" s="1164"/>
      <c r="D2887" s="1224"/>
    </row>
    <row r="2888" spans="1:4" x14ac:dyDescent="0.2">
      <c r="A2888" s="1164"/>
      <c r="B2888" s="1164"/>
      <c r="D2888" s="1224"/>
    </row>
    <row r="2889" spans="1:4" x14ac:dyDescent="0.2">
      <c r="A2889" s="1164"/>
      <c r="B2889" s="1164"/>
      <c r="D2889" s="1224"/>
    </row>
    <row r="2890" spans="1:4" x14ac:dyDescent="0.2">
      <c r="A2890" s="1164"/>
      <c r="B2890" s="1164"/>
      <c r="D2890" s="1224"/>
    </row>
    <row r="2891" spans="1:4" x14ac:dyDescent="0.2">
      <c r="A2891" s="1164"/>
      <c r="B2891" s="1164"/>
      <c r="D2891" s="1224"/>
    </row>
    <row r="2892" spans="1:4" x14ac:dyDescent="0.2">
      <c r="A2892" s="1164"/>
      <c r="B2892" s="1164"/>
      <c r="D2892" s="1224"/>
    </row>
    <row r="2893" spans="1:4" x14ac:dyDescent="0.2">
      <c r="A2893" s="1164"/>
      <c r="B2893" s="1164"/>
      <c r="D2893" s="1224"/>
    </row>
    <row r="2894" spans="1:4" x14ac:dyDescent="0.2">
      <c r="A2894" s="1164"/>
      <c r="B2894" s="1164"/>
      <c r="D2894" s="1224"/>
    </row>
    <row r="2895" spans="1:4" x14ac:dyDescent="0.2">
      <c r="A2895" s="1164"/>
      <c r="B2895" s="1164"/>
      <c r="D2895" s="1224"/>
    </row>
    <row r="2896" spans="1:4" x14ac:dyDescent="0.2">
      <c r="A2896" s="1164"/>
      <c r="B2896" s="1164"/>
      <c r="D2896" s="1224"/>
    </row>
    <row r="2897" spans="1:4" x14ac:dyDescent="0.2">
      <c r="A2897" s="1164"/>
      <c r="B2897" s="1164"/>
      <c r="D2897" s="1224"/>
    </row>
    <row r="2898" spans="1:4" x14ac:dyDescent="0.2">
      <c r="A2898" s="1164"/>
      <c r="B2898" s="1164"/>
      <c r="D2898" s="1224"/>
    </row>
    <row r="2899" spans="1:4" x14ac:dyDescent="0.2">
      <c r="A2899" s="1164"/>
      <c r="B2899" s="1164"/>
      <c r="D2899" s="1224"/>
    </row>
    <row r="2900" spans="1:4" x14ac:dyDescent="0.2">
      <c r="A2900" s="1164"/>
      <c r="B2900" s="1164"/>
      <c r="D2900" s="1224"/>
    </row>
    <row r="2901" spans="1:4" x14ac:dyDescent="0.2">
      <c r="A2901" s="1164"/>
      <c r="B2901" s="1164"/>
      <c r="D2901" s="1224"/>
    </row>
    <row r="2902" spans="1:4" x14ac:dyDescent="0.2">
      <c r="A2902" s="1164"/>
      <c r="B2902" s="1164"/>
      <c r="D2902" s="1224"/>
    </row>
    <row r="2903" spans="1:4" x14ac:dyDescent="0.2">
      <c r="A2903" s="1164"/>
      <c r="B2903" s="1164"/>
      <c r="D2903" s="1224"/>
    </row>
    <row r="2904" spans="1:4" x14ac:dyDescent="0.2">
      <c r="A2904" s="1164"/>
      <c r="B2904" s="1164"/>
      <c r="D2904" s="1224"/>
    </row>
    <row r="2905" spans="1:4" x14ac:dyDescent="0.2">
      <c r="A2905" s="1164"/>
      <c r="B2905" s="1164"/>
      <c r="D2905" s="1224"/>
    </row>
    <row r="2906" spans="1:4" x14ac:dyDescent="0.2">
      <c r="A2906" s="1164"/>
      <c r="B2906" s="1164"/>
      <c r="D2906" s="1224"/>
    </row>
    <row r="2907" spans="1:4" x14ac:dyDescent="0.2">
      <c r="A2907" s="1164"/>
      <c r="B2907" s="1164"/>
      <c r="D2907" s="1224"/>
    </row>
    <row r="2908" spans="1:4" x14ac:dyDescent="0.2">
      <c r="A2908" s="1164"/>
      <c r="B2908" s="1164"/>
      <c r="D2908" s="1224"/>
    </row>
    <row r="2909" spans="1:4" x14ac:dyDescent="0.2">
      <c r="A2909" s="1164"/>
      <c r="B2909" s="1164"/>
      <c r="D2909" s="1224"/>
    </row>
    <row r="2910" spans="1:4" x14ac:dyDescent="0.2">
      <c r="A2910" s="1164"/>
      <c r="B2910" s="1164"/>
      <c r="D2910" s="1224"/>
    </row>
    <row r="2911" spans="1:4" x14ac:dyDescent="0.2">
      <c r="A2911" s="1164"/>
      <c r="B2911" s="1164"/>
      <c r="D2911" s="1224"/>
    </row>
    <row r="2912" spans="1:4" x14ac:dyDescent="0.2">
      <c r="A2912" s="1164"/>
      <c r="B2912" s="1164"/>
      <c r="D2912" s="1224"/>
    </row>
    <row r="2913" spans="1:4" x14ac:dyDescent="0.2">
      <c r="A2913" s="1164"/>
      <c r="B2913" s="1164"/>
      <c r="D2913" s="1224"/>
    </row>
    <row r="2914" spans="1:4" x14ac:dyDescent="0.2">
      <c r="A2914" s="1164"/>
      <c r="B2914" s="1164"/>
      <c r="D2914" s="1224"/>
    </row>
    <row r="2915" spans="1:4" x14ac:dyDescent="0.2">
      <c r="A2915" s="1164"/>
      <c r="B2915" s="1164"/>
      <c r="D2915" s="1224"/>
    </row>
    <row r="2916" spans="1:4" x14ac:dyDescent="0.2">
      <c r="A2916" s="1164"/>
      <c r="B2916" s="1164"/>
      <c r="D2916" s="1224"/>
    </row>
    <row r="2917" spans="1:4" x14ac:dyDescent="0.2">
      <c r="A2917" s="1164"/>
      <c r="B2917" s="1164"/>
      <c r="D2917" s="1224"/>
    </row>
    <row r="2918" spans="1:4" x14ac:dyDescent="0.2">
      <c r="A2918" s="1164"/>
      <c r="B2918" s="1164"/>
      <c r="D2918" s="1224"/>
    </row>
    <row r="2919" spans="1:4" x14ac:dyDescent="0.2">
      <c r="A2919" s="1164"/>
      <c r="B2919" s="1164"/>
      <c r="D2919" s="1224"/>
    </row>
    <row r="2920" spans="1:4" x14ac:dyDescent="0.2">
      <c r="A2920" s="1164"/>
      <c r="B2920" s="1164"/>
      <c r="D2920" s="1224"/>
    </row>
    <row r="2921" spans="1:4" x14ac:dyDescent="0.2">
      <c r="A2921" s="1164"/>
      <c r="B2921" s="1164"/>
      <c r="D2921" s="1224"/>
    </row>
    <row r="2922" spans="1:4" x14ac:dyDescent="0.2">
      <c r="A2922" s="1164"/>
      <c r="B2922" s="1164"/>
      <c r="D2922" s="1224"/>
    </row>
    <row r="2923" spans="1:4" x14ac:dyDescent="0.2">
      <c r="A2923" s="1164"/>
      <c r="B2923" s="1164"/>
      <c r="D2923" s="1224"/>
    </row>
    <row r="2924" spans="1:4" x14ac:dyDescent="0.2">
      <c r="A2924" s="1164"/>
      <c r="B2924" s="1164"/>
      <c r="D2924" s="1224"/>
    </row>
    <row r="2925" spans="1:4" x14ac:dyDescent="0.2">
      <c r="A2925" s="1164"/>
      <c r="B2925" s="1164"/>
      <c r="D2925" s="1224"/>
    </row>
    <row r="2926" spans="1:4" x14ac:dyDescent="0.2">
      <c r="A2926" s="1164"/>
      <c r="B2926" s="1164"/>
      <c r="D2926" s="1224"/>
    </row>
    <row r="2927" spans="1:4" x14ac:dyDescent="0.2">
      <c r="A2927" s="1164"/>
      <c r="B2927" s="1164"/>
      <c r="D2927" s="1224"/>
    </row>
    <row r="2928" spans="1:4" x14ac:dyDescent="0.2">
      <c r="A2928" s="1164"/>
      <c r="B2928" s="1164"/>
      <c r="D2928" s="1224"/>
    </row>
    <row r="2929" spans="1:4" x14ac:dyDescent="0.2">
      <c r="A2929" s="1164"/>
      <c r="B2929" s="1164"/>
      <c r="D2929" s="1224"/>
    </row>
    <row r="2930" spans="1:4" x14ac:dyDescent="0.2">
      <c r="A2930" s="1164"/>
      <c r="B2930" s="1164"/>
      <c r="D2930" s="1224"/>
    </row>
    <row r="2931" spans="1:4" x14ac:dyDescent="0.2">
      <c r="A2931" s="1164"/>
      <c r="B2931" s="1164"/>
      <c r="D2931" s="1224"/>
    </row>
    <row r="2932" spans="1:4" x14ac:dyDescent="0.2">
      <c r="A2932" s="1164"/>
      <c r="B2932" s="1164"/>
      <c r="D2932" s="1224"/>
    </row>
    <row r="2933" spans="1:4" x14ac:dyDescent="0.2">
      <c r="A2933" s="1164"/>
      <c r="B2933" s="1164"/>
      <c r="D2933" s="1224"/>
    </row>
    <row r="2934" spans="1:4" x14ac:dyDescent="0.2">
      <c r="A2934" s="1164"/>
      <c r="B2934" s="1164"/>
      <c r="D2934" s="1224"/>
    </row>
    <row r="2935" spans="1:4" x14ac:dyDescent="0.2">
      <c r="A2935" s="1164"/>
      <c r="B2935" s="1164"/>
      <c r="D2935" s="1224"/>
    </row>
    <row r="2936" spans="1:4" x14ac:dyDescent="0.2">
      <c r="A2936" s="1164"/>
      <c r="B2936" s="1164"/>
      <c r="D2936" s="1224"/>
    </row>
    <row r="2937" spans="1:4" x14ac:dyDescent="0.2">
      <c r="A2937" s="1164"/>
      <c r="B2937" s="1164"/>
      <c r="D2937" s="1224"/>
    </row>
    <row r="2938" spans="1:4" x14ac:dyDescent="0.2">
      <c r="A2938" s="1164"/>
      <c r="B2938" s="1164"/>
      <c r="D2938" s="1224"/>
    </row>
    <row r="2939" spans="1:4" x14ac:dyDescent="0.2">
      <c r="A2939" s="1164"/>
      <c r="B2939" s="1164"/>
      <c r="D2939" s="1224"/>
    </row>
    <row r="2940" spans="1:4" x14ac:dyDescent="0.2">
      <c r="A2940" s="1164"/>
      <c r="B2940" s="1164"/>
      <c r="D2940" s="1224"/>
    </row>
    <row r="2941" spans="1:4" x14ac:dyDescent="0.2">
      <c r="A2941" s="1164"/>
      <c r="B2941" s="1164"/>
      <c r="D2941" s="1224"/>
    </row>
    <row r="2942" spans="1:4" x14ac:dyDescent="0.2">
      <c r="A2942" s="1164"/>
      <c r="B2942" s="1164"/>
      <c r="D2942" s="1224"/>
    </row>
    <row r="2943" spans="1:4" x14ac:dyDescent="0.2">
      <c r="A2943" s="1164"/>
      <c r="B2943" s="1164"/>
      <c r="D2943" s="1224"/>
    </row>
    <row r="2944" spans="1:4" x14ac:dyDescent="0.2">
      <c r="A2944" s="1164"/>
      <c r="B2944" s="1164"/>
      <c r="D2944" s="1224"/>
    </row>
    <row r="2945" spans="1:4" x14ac:dyDescent="0.2">
      <c r="A2945" s="1164"/>
      <c r="B2945" s="1164"/>
      <c r="D2945" s="1224"/>
    </row>
    <row r="2946" spans="1:4" x14ac:dyDescent="0.2">
      <c r="A2946" s="1164"/>
      <c r="B2946" s="1164"/>
      <c r="D2946" s="1224"/>
    </row>
    <row r="2947" spans="1:4" x14ac:dyDescent="0.2">
      <c r="A2947" s="1164"/>
      <c r="B2947" s="1164"/>
      <c r="D2947" s="1224"/>
    </row>
    <row r="2948" spans="1:4" x14ac:dyDescent="0.2">
      <c r="A2948" s="1164"/>
      <c r="B2948" s="1164"/>
      <c r="D2948" s="1224"/>
    </row>
    <row r="2949" spans="1:4" x14ac:dyDescent="0.2">
      <c r="A2949" s="1164"/>
      <c r="B2949" s="1164"/>
      <c r="D2949" s="1224"/>
    </row>
    <row r="2950" spans="1:4" x14ac:dyDescent="0.2">
      <c r="A2950" s="1164"/>
      <c r="B2950" s="1164"/>
      <c r="D2950" s="1224"/>
    </row>
    <row r="2951" spans="1:4" x14ac:dyDescent="0.2">
      <c r="A2951" s="1164"/>
      <c r="B2951" s="1164"/>
      <c r="D2951" s="1224"/>
    </row>
    <row r="2952" spans="1:4" x14ac:dyDescent="0.2">
      <c r="A2952" s="1164"/>
      <c r="B2952" s="1164"/>
      <c r="D2952" s="1224"/>
    </row>
    <row r="2953" spans="1:4" x14ac:dyDescent="0.2">
      <c r="A2953" s="1164"/>
      <c r="B2953" s="1164"/>
      <c r="D2953" s="1224"/>
    </row>
    <row r="2954" spans="1:4" x14ac:dyDescent="0.2">
      <c r="A2954" s="1164"/>
      <c r="B2954" s="1164"/>
      <c r="D2954" s="1224"/>
    </row>
    <row r="2955" spans="1:4" x14ac:dyDescent="0.2">
      <c r="A2955" s="1164"/>
      <c r="B2955" s="1164"/>
      <c r="D2955" s="1224"/>
    </row>
    <row r="2956" spans="1:4" x14ac:dyDescent="0.2">
      <c r="A2956" s="1164"/>
      <c r="B2956" s="1164"/>
      <c r="D2956" s="1224"/>
    </row>
    <row r="2957" spans="1:4" x14ac:dyDescent="0.2">
      <c r="A2957" s="1164"/>
      <c r="B2957" s="1164"/>
      <c r="D2957" s="1224"/>
    </row>
    <row r="2958" spans="1:4" x14ac:dyDescent="0.2">
      <c r="A2958" s="1164"/>
      <c r="B2958" s="1164"/>
      <c r="D2958" s="1224"/>
    </row>
    <row r="2959" spans="1:4" x14ac:dyDescent="0.2">
      <c r="A2959" s="1164"/>
      <c r="B2959" s="1164"/>
      <c r="D2959" s="1224"/>
    </row>
    <row r="2960" spans="1:4" x14ac:dyDescent="0.2">
      <c r="A2960" s="1164"/>
      <c r="B2960" s="1164"/>
      <c r="D2960" s="1224"/>
    </row>
    <row r="2961" spans="1:4" x14ac:dyDescent="0.2">
      <c r="A2961" s="1164"/>
      <c r="B2961" s="1164"/>
      <c r="D2961" s="1224"/>
    </row>
    <row r="2962" spans="1:4" x14ac:dyDescent="0.2">
      <c r="A2962" s="1164"/>
      <c r="B2962" s="1164"/>
      <c r="D2962" s="1224"/>
    </row>
    <row r="2963" spans="1:4" x14ac:dyDescent="0.2">
      <c r="A2963" s="1164"/>
      <c r="B2963" s="1164"/>
      <c r="D2963" s="1224"/>
    </row>
    <row r="2964" spans="1:4" x14ac:dyDescent="0.2">
      <c r="A2964" s="1164"/>
      <c r="B2964" s="1164"/>
      <c r="D2964" s="1224"/>
    </row>
    <row r="2965" spans="1:4" x14ac:dyDescent="0.2">
      <c r="A2965" s="1164"/>
      <c r="B2965" s="1164"/>
      <c r="D2965" s="1224"/>
    </row>
    <row r="2966" spans="1:4" x14ac:dyDescent="0.2">
      <c r="A2966" s="1164"/>
      <c r="B2966" s="1164"/>
      <c r="D2966" s="1224"/>
    </row>
    <row r="2967" spans="1:4" x14ac:dyDescent="0.2">
      <c r="A2967" s="1164"/>
      <c r="B2967" s="1164"/>
      <c r="D2967" s="1224"/>
    </row>
    <row r="2968" spans="1:4" x14ac:dyDescent="0.2">
      <c r="A2968" s="1164"/>
      <c r="B2968" s="1164"/>
      <c r="D2968" s="1224"/>
    </row>
    <row r="2969" spans="1:4" x14ac:dyDescent="0.2">
      <c r="A2969" s="1164"/>
      <c r="B2969" s="1164"/>
      <c r="D2969" s="1224"/>
    </row>
    <row r="2970" spans="1:4" x14ac:dyDescent="0.2">
      <c r="A2970" s="1164"/>
      <c r="B2970" s="1164"/>
      <c r="D2970" s="1224"/>
    </row>
    <row r="2971" spans="1:4" x14ac:dyDescent="0.2">
      <c r="A2971" s="1164"/>
      <c r="B2971" s="1164"/>
      <c r="D2971" s="1224"/>
    </row>
    <row r="2972" spans="1:4" x14ac:dyDescent="0.2">
      <c r="A2972" s="1164"/>
      <c r="B2972" s="1164"/>
      <c r="D2972" s="1224"/>
    </row>
    <row r="2973" spans="1:4" x14ac:dyDescent="0.2">
      <c r="A2973" s="1164"/>
      <c r="B2973" s="1164"/>
      <c r="D2973" s="1224"/>
    </row>
    <row r="2974" spans="1:4" x14ac:dyDescent="0.2">
      <c r="A2974" s="1164"/>
      <c r="B2974" s="1164"/>
      <c r="D2974" s="1224"/>
    </row>
    <row r="2975" spans="1:4" x14ac:dyDescent="0.2">
      <c r="A2975" s="1164"/>
      <c r="B2975" s="1164"/>
      <c r="D2975" s="1224"/>
    </row>
    <row r="2976" spans="1:4" x14ac:dyDescent="0.2">
      <c r="A2976" s="1164"/>
      <c r="B2976" s="1164"/>
      <c r="D2976" s="1224"/>
    </row>
    <row r="2977" spans="1:4" x14ac:dyDescent="0.2">
      <c r="A2977" s="1164"/>
      <c r="B2977" s="1164"/>
      <c r="D2977" s="1224"/>
    </row>
    <row r="2978" spans="1:4" x14ac:dyDescent="0.2">
      <c r="A2978" s="1164"/>
      <c r="B2978" s="1164"/>
      <c r="D2978" s="1224"/>
    </row>
    <row r="2979" spans="1:4" x14ac:dyDescent="0.2">
      <c r="A2979" s="1164"/>
      <c r="B2979" s="1164"/>
      <c r="D2979" s="1224"/>
    </row>
    <row r="2980" spans="1:4" x14ac:dyDescent="0.2">
      <c r="A2980" s="1164"/>
      <c r="B2980" s="1164"/>
      <c r="D2980" s="1224"/>
    </row>
    <row r="2981" spans="1:4" x14ac:dyDescent="0.2">
      <c r="A2981" s="1164"/>
      <c r="B2981" s="1164"/>
      <c r="D2981" s="1224"/>
    </row>
    <row r="2982" spans="1:4" x14ac:dyDescent="0.2">
      <c r="A2982" s="1164"/>
      <c r="B2982" s="1164"/>
      <c r="D2982" s="1224"/>
    </row>
    <row r="2983" spans="1:4" x14ac:dyDescent="0.2">
      <c r="A2983" s="1164"/>
      <c r="B2983" s="1164"/>
      <c r="D2983" s="1224"/>
    </row>
    <row r="2984" spans="1:4" x14ac:dyDescent="0.2">
      <c r="A2984" s="1164"/>
      <c r="B2984" s="1164"/>
      <c r="D2984" s="1224"/>
    </row>
    <row r="2985" spans="1:4" x14ac:dyDescent="0.2">
      <c r="A2985" s="1164"/>
      <c r="B2985" s="1164"/>
      <c r="D2985" s="1224"/>
    </row>
    <row r="2986" spans="1:4" x14ac:dyDescent="0.2">
      <c r="A2986" s="1164"/>
      <c r="B2986" s="1164"/>
      <c r="D2986" s="1224"/>
    </row>
    <row r="2987" spans="1:4" x14ac:dyDescent="0.2">
      <c r="A2987" s="1164"/>
      <c r="B2987" s="1164"/>
      <c r="D2987" s="1224"/>
    </row>
    <row r="2988" spans="1:4" x14ac:dyDescent="0.2">
      <c r="A2988" s="1164"/>
      <c r="B2988" s="1164"/>
      <c r="D2988" s="1224"/>
    </row>
    <row r="2989" spans="1:4" x14ac:dyDescent="0.2">
      <c r="A2989" s="1164"/>
      <c r="B2989" s="1164"/>
      <c r="D2989" s="1224"/>
    </row>
    <row r="2990" spans="1:4" x14ac:dyDescent="0.2">
      <c r="A2990" s="1164"/>
      <c r="B2990" s="1164"/>
      <c r="D2990" s="1224"/>
    </row>
    <row r="2991" spans="1:4" x14ac:dyDescent="0.2">
      <c r="A2991" s="1164"/>
      <c r="B2991" s="1164"/>
      <c r="D2991" s="1224"/>
    </row>
    <row r="2992" spans="1:4" x14ac:dyDescent="0.2">
      <c r="A2992" s="1164"/>
      <c r="B2992" s="1164"/>
      <c r="D2992" s="1224"/>
    </row>
    <row r="2993" spans="1:4" x14ac:dyDescent="0.2">
      <c r="A2993" s="1164"/>
      <c r="B2993" s="1164"/>
      <c r="D2993" s="1224"/>
    </row>
    <row r="2994" spans="1:4" x14ac:dyDescent="0.2">
      <c r="A2994" s="1164"/>
      <c r="B2994" s="1164"/>
      <c r="D2994" s="1224"/>
    </row>
    <row r="2995" spans="1:4" x14ac:dyDescent="0.2">
      <c r="A2995" s="1164"/>
      <c r="B2995" s="1164"/>
      <c r="D2995" s="1224"/>
    </row>
    <row r="2996" spans="1:4" x14ac:dyDescent="0.2">
      <c r="A2996" s="1164"/>
      <c r="B2996" s="1164"/>
      <c r="D2996" s="1224"/>
    </row>
    <row r="2997" spans="1:4" x14ac:dyDescent="0.2">
      <c r="A2997" s="1164"/>
      <c r="B2997" s="1164"/>
      <c r="D2997" s="1224"/>
    </row>
    <row r="2998" spans="1:4" x14ac:dyDescent="0.2">
      <c r="A2998" s="1164"/>
      <c r="B2998" s="1164"/>
      <c r="D2998" s="1224"/>
    </row>
    <row r="2999" spans="1:4" x14ac:dyDescent="0.2">
      <c r="A2999" s="1164"/>
      <c r="B2999" s="1164"/>
      <c r="D2999" s="1224"/>
    </row>
    <row r="3000" spans="1:4" x14ac:dyDescent="0.2">
      <c r="A3000" s="1164"/>
      <c r="B3000" s="1164"/>
      <c r="D3000" s="1224"/>
    </row>
    <row r="3001" spans="1:4" x14ac:dyDescent="0.2">
      <c r="A3001" s="1164"/>
      <c r="B3001" s="1164"/>
      <c r="D3001" s="1224"/>
    </row>
    <row r="3002" spans="1:4" x14ac:dyDescent="0.2">
      <c r="A3002" s="1164"/>
      <c r="B3002" s="1164"/>
      <c r="D3002" s="1224"/>
    </row>
    <row r="3003" spans="1:4" x14ac:dyDescent="0.2">
      <c r="A3003" s="1164"/>
      <c r="B3003" s="1164"/>
      <c r="D3003" s="1224"/>
    </row>
    <row r="3004" spans="1:4" x14ac:dyDescent="0.2">
      <c r="A3004" s="1164"/>
      <c r="B3004" s="1164"/>
      <c r="D3004" s="1224"/>
    </row>
    <row r="3005" spans="1:4" x14ac:dyDescent="0.2">
      <c r="A3005" s="1164"/>
      <c r="B3005" s="1164"/>
      <c r="D3005" s="1224"/>
    </row>
    <row r="3006" spans="1:4" x14ac:dyDescent="0.2">
      <c r="A3006" s="1164"/>
      <c r="B3006" s="1164"/>
      <c r="D3006" s="1224"/>
    </row>
    <row r="3007" spans="1:4" x14ac:dyDescent="0.2">
      <c r="A3007" s="1164"/>
      <c r="B3007" s="1164"/>
      <c r="D3007" s="1224"/>
    </row>
    <row r="3008" spans="1:4" x14ac:dyDescent="0.2">
      <c r="A3008" s="1164"/>
      <c r="B3008" s="1164"/>
      <c r="D3008" s="1224"/>
    </row>
    <row r="3009" spans="1:4" x14ac:dyDescent="0.2">
      <c r="A3009" s="1164"/>
      <c r="B3009" s="1164"/>
      <c r="D3009" s="1224"/>
    </row>
    <row r="3010" spans="1:4" x14ac:dyDescent="0.2">
      <c r="A3010" s="1164"/>
      <c r="B3010" s="1164"/>
      <c r="D3010" s="1224"/>
    </row>
    <row r="3011" spans="1:4" x14ac:dyDescent="0.2">
      <c r="A3011" s="1164"/>
      <c r="B3011" s="1164"/>
      <c r="D3011" s="1224"/>
    </row>
    <row r="3012" spans="1:4" x14ac:dyDescent="0.2">
      <c r="A3012" s="1164"/>
      <c r="B3012" s="1164"/>
      <c r="D3012" s="1224"/>
    </row>
    <row r="3013" spans="1:4" x14ac:dyDescent="0.2">
      <c r="A3013" s="1164"/>
      <c r="B3013" s="1164"/>
      <c r="D3013" s="1224"/>
    </row>
    <row r="3014" spans="1:4" x14ac:dyDescent="0.2">
      <c r="A3014" s="1164"/>
      <c r="B3014" s="1164"/>
      <c r="D3014" s="1224"/>
    </row>
    <row r="3015" spans="1:4" x14ac:dyDescent="0.2">
      <c r="A3015" s="1164"/>
      <c r="B3015" s="1164"/>
      <c r="D3015" s="1224"/>
    </row>
    <row r="3016" spans="1:4" x14ac:dyDescent="0.2">
      <c r="A3016" s="1164"/>
      <c r="B3016" s="1164"/>
      <c r="D3016" s="1224"/>
    </row>
    <row r="3017" spans="1:4" x14ac:dyDescent="0.2">
      <c r="A3017" s="1164"/>
      <c r="B3017" s="1164"/>
      <c r="D3017" s="1224"/>
    </row>
    <row r="3018" spans="1:4" x14ac:dyDescent="0.2">
      <c r="A3018" s="1164"/>
      <c r="B3018" s="1164"/>
      <c r="D3018" s="1224"/>
    </row>
    <row r="3019" spans="1:4" x14ac:dyDescent="0.2">
      <c r="A3019" s="1164"/>
      <c r="B3019" s="1164"/>
      <c r="D3019" s="1224"/>
    </row>
    <row r="3020" spans="1:4" x14ac:dyDescent="0.2">
      <c r="A3020" s="1164"/>
      <c r="B3020" s="1164"/>
      <c r="D3020" s="1224"/>
    </row>
    <row r="3021" spans="1:4" x14ac:dyDescent="0.2">
      <c r="A3021" s="1164"/>
      <c r="B3021" s="1164"/>
      <c r="D3021" s="1224"/>
    </row>
    <row r="3022" spans="1:4" x14ac:dyDescent="0.2">
      <c r="A3022" s="1164"/>
      <c r="B3022" s="1164"/>
      <c r="D3022" s="1224"/>
    </row>
    <row r="3023" spans="1:4" x14ac:dyDescent="0.2">
      <c r="A3023" s="1164"/>
      <c r="B3023" s="1164"/>
      <c r="D3023" s="1224"/>
    </row>
    <row r="3024" spans="1:4" x14ac:dyDescent="0.2">
      <c r="A3024" s="1164"/>
      <c r="B3024" s="1164"/>
      <c r="D3024" s="1224"/>
    </row>
    <row r="3025" spans="1:4" x14ac:dyDescent="0.2">
      <c r="A3025" s="1164"/>
      <c r="B3025" s="1164"/>
      <c r="D3025" s="1224"/>
    </row>
    <row r="3026" spans="1:4" x14ac:dyDescent="0.2">
      <c r="A3026" s="1164"/>
      <c r="B3026" s="1164"/>
      <c r="D3026" s="1224"/>
    </row>
    <row r="3027" spans="1:4" x14ac:dyDescent="0.2">
      <c r="A3027" s="1164"/>
      <c r="B3027" s="1164"/>
      <c r="D3027" s="1224"/>
    </row>
    <row r="3028" spans="1:4" x14ac:dyDescent="0.2">
      <c r="A3028" s="1164"/>
      <c r="B3028" s="1164"/>
      <c r="D3028" s="1224"/>
    </row>
    <row r="3029" spans="1:4" x14ac:dyDescent="0.2">
      <c r="A3029" s="1164"/>
      <c r="B3029" s="1164"/>
      <c r="D3029" s="1224"/>
    </row>
    <row r="3030" spans="1:4" x14ac:dyDescent="0.2">
      <c r="A3030" s="1164"/>
      <c r="B3030" s="1164"/>
      <c r="D3030" s="1224"/>
    </row>
    <row r="3031" spans="1:4" x14ac:dyDescent="0.2">
      <c r="A3031" s="1164"/>
      <c r="B3031" s="1164"/>
      <c r="D3031" s="1224"/>
    </row>
    <row r="3032" spans="1:4" x14ac:dyDescent="0.2">
      <c r="A3032" s="1164"/>
      <c r="B3032" s="1164"/>
      <c r="D3032" s="1224"/>
    </row>
    <row r="3033" spans="1:4" x14ac:dyDescent="0.2">
      <c r="A3033" s="1164"/>
      <c r="B3033" s="1164"/>
      <c r="D3033" s="1224"/>
    </row>
    <row r="3034" spans="1:4" x14ac:dyDescent="0.2">
      <c r="A3034" s="1164"/>
      <c r="B3034" s="1164"/>
      <c r="D3034" s="1224"/>
    </row>
    <row r="3035" spans="1:4" x14ac:dyDescent="0.2">
      <c r="A3035" s="1164"/>
      <c r="B3035" s="1164"/>
      <c r="D3035" s="1224"/>
    </row>
    <row r="3036" spans="1:4" x14ac:dyDescent="0.2">
      <c r="A3036" s="1164"/>
      <c r="B3036" s="1164"/>
      <c r="D3036" s="1224"/>
    </row>
    <row r="3037" spans="1:4" x14ac:dyDescent="0.2">
      <c r="A3037" s="1164"/>
      <c r="B3037" s="1164"/>
      <c r="D3037" s="1224"/>
    </row>
    <row r="3038" spans="1:4" x14ac:dyDescent="0.2">
      <c r="A3038" s="1164"/>
      <c r="B3038" s="1164"/>
      <c r="D3038" s="1224"/>
    </row>
    <row r="3039" spans="1:4" x14ac:dyDescent="0.2">
      <c r="A3039" s="1164"/>
      <c r="B3039" s="1164"/>
      <c r="D3039" s="1224"/>
    </row>
    <row r="3040" spans="1:4" x14ac:dyDescent="0.2">
      <c r="A3040" s="1164"/>
      <c r="B3040" s="1164"/>
      <c r="D3040" s="1224"/>
    </row>
    <row r="3041" spans="1:4" x14ac:dyDescent="0.2">
      <c r="A3041" s="1164"/>
      <c r="B3041" s="1164"/>
      <c r="D3041" s="1224"/>
    </row>
    <row r="3042" spans="1:4" x14ac:dyDescent="0.2">
      <c r="A3042" s="1164"/>
      <c r="B3042" s="1164"/>
      <c r="D3042" s="1224"/>
    </row>
    <row r="3043" spans="1:4" x14ac:dyDescent="0.2">
      <c r="A3043" s="1164"/>
      <c r="B3043" s="1164"/>
      <c r="D3043" s="1224"/>
    </row>
    <row r="3044" spans="1:4" x14ac:dyDescent="0.2">
      <c r="A3044" s="1164"/>
      <c r="B3044" s="1164"/>
      <c r="D3044" s="1224"/>
    </row>
    <row r="3045" spans="1:4" x14ac:dyDescent="0.2">
      <c r="A3045" s="1164"/>
      <c r="B3045" s="1164"/>
      <c r="D3045" s="1224"/>
    </row>
    <row r="3046" spans="1:4" x14ac:dyDescent="0.2">
      <c r="A3046" s="1164"/>
      <c r="B3046" s="1164"/>
      <c r="D3046" s="1224"/>
    </row>
    <row r="3047" spans="1:4" x14ac:dyDescent="0.2">
      <c r="A3047" s="1164"/>
      <c r="B3047" s="1164"/>
      <c r="D3047" s="1224"/>
    </row>
    <row r="3048" spans="1:4" x14ac:dyDescent="0.2">
      <c r="A3048" s="1164"/>
      <c r="B3048" s="1164"/>
      <c r="D3048" s="1224"/>
    </row>
    <row r="3049" spans="1:4" x14ac:dyDescent="0.2">
      <c r="A3049" s="1164"/>
      <c r="B3049" s="1164"/>
      <c r="D3049" s="1224"/>
    </row>
    <row r="3050" spans="1:4" x14ac:dyDescent="0.2">
      <c r="A3050" s="1164"/>
      <c r="B3050" s="1164"/>
      <c r="D3050" s="1224"/>
    </row>
    <row r="3051" spans="1:4" x14ac:dyDescent="0.2">
      <c r="A3051" s="1164"/>
      <c r="B3051" s="1164"/>
      <c r="D3051" s="1224"/>
    </row>
    <row r="3052" spans="1:4" x14ac:dyDescent="0.2">
      <c r="A3052" s="1164"/>
      <c r="B3052" s="1164"/>
      <c r="D3052" s="1224"/>
    </row>
    <row r="3053" spans="1:4" x14ac:dyDescent="0.2">
      <c r="A3053" s="1164"/>
      <c r="B3053" s="1164"/>
      <c r="D3053" s="1224"/>
    </row>
    <row r="3054" spans="1:4" x14ac:dyDescent="0.2">
      <c r="A3054" s="1164"/>
      <c r="B3054" s="1164"/>
      <c r="D3054" s="1224"/>
    </row>
    <row r="3055" spans="1:4" x14ac:dyDescent="0.2">
      <c r="A3055" s="1164"/>
      <c r="B3055" s="1164"/>
      <c r="D3055" s="1224"/>
    </row>
    <row r="3056" spans="1:4" x14ac:dyDescent="0.2">
      <c r="A3056" s="1164"/>
      <c r="B3056" s="1164"/>
      <c r="D3056" s="1224"/>
    </row>
    <row r="3057" spans="1:4" x14ac:dyDescent="0.2">
      <c r="A3057" s="1164"/>
      <c r="B3057" s="1164"/>
      <c r="D3057" s="1224"/>
    </row>
    <row r="3058" spans="1:4" x14ac:dyDescent="0.2">
      <c r="A3058" s="1164"/>
      <c r="B3058" s="1164"/>
      <c r="D3058" s="1224"/>
    </row>
    <row r="3059" spans="1:4" x14ac:dyDescent="0.2">
      <c r="A3059" s="1164"/>
      <c r="B3059" s="1164"/>
      <c r="D3059" s="1224"/>
    </row>
    <row r="3060" spans="1:4" x14ac:dyDescent="0.2">
      <c r="A3060" s="1164"/>
      <c r="B3060" s="1164"/>
      <c r="D3060" s="1224"/>
    </row>
    <row r="3061" spans="1:4" x14ac:dyDescent="0.2">
      <c r="A3061" s="1164"/>
      <c r="B3061" s="1164"/>
      <c r="D3061" s="1224"/>
    </row>
    <row r="3062" spans="1:4" x14ac:dyDescent="0.2">
      <c r="A3062" s="1164"/>
      <c r="B3062" s="1164"/>
      <c r="D3062" s="1224"/>
    </row>
    <row r="3063" spans="1:4" x14ac:dyDescent="0.2">
      <c r="A3063" s="1164"/>
      <c r="B3063" s="1164"/>
      <c r="D3063" s="1224"/>
    </row>
    <row r="3064" spans="1:4" x14ac:dyDescent="0.2">
      <c r="A3064" s="1164"/>
      <c r="B3064" s="1164"/>
      <c r="D3064" s="1224"/>
    </row>
    <row r="3065" spans="1:4" x14ac:dyDescent="0.2">
      <c r="A3065" s="1164"/>
      <c r="B3065" s="1164"/>
      <c r="D3065" s="1224"/>
    </row>
    <row r="3066" spans="1:4" x14ac:dyDescent="0.2">
      <c r="A3066" s="1164"/>
      <c r="B3066" s="1164"/>
      <c r="D3066" s="1224"/>
    </row>
    <row r="3067" spans="1:4" x14ac:dyDescent="0.2">
      <c r="A3067" s="1164"/>
      <c r="B3067" s="1164"/>
      <c r="D3067" s="1224"/>
    </row>
    <row r="3068" spans="1:4" x14ac:dyDescent="0.2">
      <c r="A3068" s="1164"/>
      <c r="B3068" s="1164"/>
      <c r="D3068" s="1224"/>
    </row>
    <row r="3069" spans="1:4" x14ac:dyDescent="0.2">
      <c r="A3069" s="1164"/>
      <c r="B3069" s="1164"/>
      <c r="D3069" s="1224"/>
    </row>
    <row r="3070" spans="1:4" x14ac:dyDescent="0.2">
      <c r="A3070" s="1164"/>
      <c r="B3070" s="1164"/>
      <c r="D3070" s="1224"/>
    </row>
    <row r="3071" spans="1:4" x14ac:dyDescent="0.2">
      <c r="A3071" s="1164"/>
      <c r="B3071" s="1164"/>
      <c r="D3071" s="1224"/>
    </row>
    <row r="3072" spans="1:4" x14ac:dyDescent="0.2">
      <c r="A3072" s="1164"/>
      <c r="B3072" s="1164"/>
      <c r="D3072" s="1224"/>
    </row>
    <row r="3073" spans="1:4" x14ac:dyDescent="0.2">
      <c r="A3073" s="1164"/>
      <c r="B3073" s="1164"/>
      <c r="D3073" s="1224"/>
    </row>
    <row r="3074" spans="1:4" x14ac:dyDescent="0.2">
      <c r="A3074" s="1164"/>
      <c r="B3074" s="1164"/>
      <c r="D3074" s="1224"/>
    </row>
    <row r="3075" spans="1:4" x14ac:dyDescent="0.2">
      <c r="A3075" s="1164"/>
      <c r="B3075" s="1164"/>
      <c r="D3075" s="1224"/>
    </row>
    <row r="3076" spans="1:4" x14ac:dyDescent="0.2">
      <c r="A3076" s="1164"/>
      <c r="B3076" s="1164"/>
      <c r="D3076" s="1224"/>
    </row>
    <row r="3077" spans="1:4" x14ac:dyDescent="0.2">
      <c r="A3077" s="1164"/>
      <c r="B3077" s="1164"/>
      <c r="D3077" s="1224"/>
    </row>
    <row r="3078" spans="1:4" x14ac:dyDescent="0.2">
      <c r="A3078" s="1164"/>
      <c r="B3078" s="1164"/>
      <c r="D3078" s="1224"/>
    </row>
    <row r="3079" spans="1:4" x14ac:dyDescent="0.2">
      <c r="A3079" s="1164"/>
      <c r="B3079" s="1164"/>
      <c r="D3079" s="1224"/>
    </row>
    <row r="3080" spans="1:4" x14ac:dyDescent="0.2">
      <c r="A3080" s="1164"/>
      <c r="B3080" s="1164"/>
      <c r="D3080" s="1224"/>
    </row>
    <row r="3081" spans="1:4" x14ac:dyDescent="0.2">
      <c r="A3081" s="1164"/>
      <c r="B3081" s="1164"/>
      <c r="D3081" s="1224"/>
    </row>
    <row r="3082" spans="1:4" x14ac:dyDescent="0.2">
      <c r="A3082" s="1164"/>
      <c r="B3082" s="1164"/>
      <c r="D3082" s="1224"/>
    </row>
    <row r="3083" spans="1:4" x14ac:dyDescent="0.2">
      <c r="A3083" s="1164"/>
      <c r="B3083" s="1164"/>
      <c r="D3083" s="1224"/>
    </row>
    <row r="3084" spans="1:4" x14ac:dyDescent="0.2">
      <c r="A3084" s="1164"/>
      <c r="B3084" s="1164"/>
      <c r="D3084" s="1224"/>
    </row>
    <row r="3085" spans="1:4" x14ac:dyDescent="0.2">
      <c r="A3085" s="1164"/>
      <c r="B3085" s="1164"/>
      <c r="D3085" s="1224"/>
    </row>
    <row r="3086" spans="1:4" x14ac:dyDescent="0.2">
      <c r="A3086" s="1164"/>
      <c r="B3086" s="1164"/>
      <c r="D3086" s="1224"/>
    </row>
    <row r="3087" spans="1:4" x14ac:dyDescent="0.2">
      <c r="A3087" s="1164"/>
      <c r="B3087" s="1164"/>
      <c r="D3087" s="1224"/>
    </row>
    <row r="3088" spans="1:4" x14ac:dyDescent="0.2">
      <c r="A3088" s="1164"/>
      <c r="B3088" s="1164"/>
      <c r="D3088" s="1224"/>
    </row>
    <row r="3089" spans="1:4" x14ac:dyDescent="0.2">
      <c r="A3089" s="1164"/>
      <c r="B3089" s="1164"/>
      <c r="D3089" s="1224"/>
    </row>
    <row r="3090" spans="1:4" x14ac:dyDescent="0.2">
      <c r="A3090" s="1164"/>
      <c r="B3090" s="1164"/>
      <c r="D3090" s="1224"/>
    </row>
    <row r="3091" spans="1:4" x14ac:dyDescent="0.2">
      <c r="A3091" s="1164"/>
      <c r="B3091" s="1164"/>
      <c r="D3091" s="1224"/>
    </row>
    <row r="3092" spans="1:4" x14ac:dyDescent="0.2">
      <c r="A3092" s="1164"/>
      <c r="B3092" s="1164"/>
      <c r="D3092" s="1224"/>
    </row>
    <row r="3093" spans="1:4" x14ac:dyDescent="0.2">
      <c r="A3093" s="1164"/>
      <c r="B3093" s="1164"/>
      <c r="D3093" s="1224"/>
    </row>
    <row r="3094" spans="1:4" x14ac:dyDescent="0.2">
      <c r="A3094" s="1164"/>
      <c r="B3094" s="1164"/>
      <c r="D3094" s="1224"/>
    </row>
    <row r="3095" spans="1:4" x14ac:dyDescent="0.2">
      <c r="A3095" s="1164"/>
      <c r="B3095" s="1164"/>
      <c r="D3095" s="1224"/>
    </row>
    <row r="3096" spans="1:4" x14ac:dyDescent="0.2">
      <c r="A3096" s="1164"/>
      <c r="B3096" s="1164"/>
      <c r="D3096" s="1224"/>
    </row>
    <row r="3097" spans="1:4" x14ac:dyDescent="0.2">
      <c r="A3097" s="1164"/>
      <c r="B3097" s="1164"/>
      <c r="D3097" s="1224"/>
    </row>
    <row r="3098" spans="1:4" x14ac:dyDescent="0.2">
      <c r="A3098" s="1164"/>
      <c r="B3098" s="1164"/>
      <c r="D3098" s="1224"/>
    </row>
    <row r="3099" spans="1:4" x14ac:dyDescent="0.2">
      <c r="A3099" s="1164"/>
      <c r="B3099" s="1164"/>
      <c r="D3099" s="1224"/>
    </row>
    <row r="3100" spans="1:4" x14ac:dyDescent="0.2">
      <c r="A3100" s="1164"/>
      <c r="B3100" s="1164"/>
      <c r="D3100" s="1224"/>
    </row>
    <row r="3101" spans="1:4" x14ac:dyDescent="0.2">
      <c r="A3101" s="1164"/>
      <c r="B3101" s="1164"/>
      <c r="D3101" s="1224"/>
    </row>
    <row r="3102" spans="1:4" x14ac:dyDescent="0.2">
      <c r="A3102" s="1164"/>
      <c r="B3102" s="1164"/>
      <c r="D3102" s="1224"/>
    </row>
    <row r="3103" spans="1:4" x14ac:dyDescent="0.2">
      <c r="A3103" s="1164"/>
      <c r="B3103" s="1164"/>
      <c r="D3103" s="1224"/>
    </row>
    <row r="3104" spans="1:4" x14ac:dyDescent="0.2">
      <c r="A3104" s="1164"/>
      <c r="B3104" s="1164"/>
      <c r="D3104" s="1224"/>
    </row>
    <row r="3105" spans="1:4" x14ac:dyDescent="0.2">
      <c r="A3105" s="1164"/>
      <c r="B3105" s="1164"/>
      <c r="D3105" s="1224"/>
    </row>
    <row r="3106" spans="1:4" x14ac:dyDescent="0.2">
      <c r="A3106" s="1164"/>
      <c r="B3106" s="1164"/>
      <c r="D3106" s="1224"/>
    </row>
    <row r="3107" spans="1:4" x14ac:dyDescent="0.2">
      <c r="A3107" s="1164"/>
      <c r="B3107" s="1164"/>
      <c r="D3107" s="1224"/>
    </row>
    <row r="3108" spans="1:4" x14ac:dyDescent="0.2">
      <c r="A3108" s="1164"/>
      <c r="B3108" s="1164"/>
      <c r="D3108" s="1224"/>
    </row>
    <row r="3109" spans="1:4" x14ac:dyDescent="0.2">
      <c r="A3109" s="1164"/>
      <c r="B3109" s="1164"/>
      <c r="D3109" s="1224"/>
    </row>
    <row r="3110" spans="1:4" x14ac:dyDescent="0.2">
      <c r="A3110" s="1164"/>
      <c r="B3110" s="1164"/>
      <c r="D3110" s="1224"/>
    </row>
    <row r="3111" spans="1:4" x14ac:dyDescent="0.2">
      <c r="A3111" s="1164"/>
      <c r="B3111" s="1164"/>
      <c r="D3111" s="1224"/>
    </row>
    <row r="3112" spans="1:4" x14ac:dyDescent="0.2">
      <c r="A3112" s="1164"/>
      <c r="B3112" s="1164"/>
      <c r="D3112" s="1224"/>
    </row>
    <row r="3113" spans="1:4" x14ac:dyDescent="0.2">
      <c r="A3113" s="1164"/>
      <c r="B3113" s="1164"/>
      <c r="D3113" s="1224"/>
    </row>
    <row r="3114" spans="1:4" x14ac:dyDescent="0.2">
      <c r="A3114" s="1164"/>
      <c r="B3114" s="1164"/>
      <c r="D3114" s="1224"/>
    </row>
    <row r="3115" spans="1:4" x14ac:dyDescent="0.2">
      <c r="A3115" s="1164"/>
      <c r="B3115" s="1164"/>
      <c r="D3115" s="1224"/>
    </row>
    <row r="3116" spans="1:4" x14ac:dyDescent="0.2">
      <c r="A3116" s="1164"/>
      <c r="B3116" s="1164"/>
      <c r="D3116" s="1224"/>
    </row>
    <row r="3117" spans="1:4" x14ac:dyDescent="0.2">
      <c r="A3117" s="1164"/>
      <c r="B3117" s="1164"/>
      <c r="D3117" s="1224"/>
    </row>
    <row r="3118" spans="1:4" x14ac:dyDescent="0.2">
      <c r="A3118" s="1164"/>
      <c r="B3118" s="1164"/>
      <c r="D3118" s="1224"/>
    </row>
    <row r="3119" spans="1:4" x14ac:dyDescent="0.2">
      <c r="A3119" s="1164"/>
      <c r="B3119" s="1164"/>
      <c r="D3119" s="1224"/>
    </row>
    <row r="3120" spans="1:4" x14ac:dyDescent="0.2">
      <c r="A3120" s="1164"/>
      <c r="B3120" s="1164"/>
      <c r="D3120" s="1224"/>
    </row>
    <row r="3121" spans="1:4" x14ac:dyDescent="0.2">
      <c r="A3121" s="1164"/>
      <c r="B3121" s="1164"/>
      <c r="D3121" s="1224"/>
    </row>
    <row r="3122" spans="1:4" x14ac:dyDescent="0.2">
      <c r="A3122" s="1164"/>
      <c r="B3122" s="1164"/>
      <c r="D3122" s="1224"/>
    </row>
    <row r="3123" spans="1:4" x14ac:dyDescent="0.2">
      <c r="A3123" s="1164"/>
      <c r="B3123" s="1164"/>
      <c r="D3123" s="1224"/>
    </row>
    <row r="3124" spans="1:4" x14ac:dyDescent="0.2">
      <c r="A3124" s="1164"/>
      <c r="B3124" s="1164"/>
      <c r="D3124" s="1224"/>
    </row>
    <row r="3125" spans="1:4" x14ac:dyDescent="0.2">
      <c r="A3125" s="1164"/>
      <c r="B3125" s="1164"/>
      <c r="D3125" s="1224"/>
    </row>
    <row r="3126" spans="1:4" x14ac:dyDescent="0.2">
      <c r="A3126" s="1164"/>
      <c r="B3126" s="1164"/>
      <c r="D3126" s="1224"/>
    </row>
    <row r="3127" spans="1:4" x14ac:dyDescent="0.2">
      <c r="A3127" s="1164"/>
      <c r="B3127" s="1164"/>
      <c r="D3127" s="1224"/>
    </row>
    <row r="3128" spans="1:4" x14ac:dyDescent="0.2">
      <c r="A3128" s="1164"/>
      <c r="B3128" s="1164"/>
      <c r="D3128" s="1224"/>
    </row>
    <row r="3129" spans="1:4" x14ac:dyDescent="0.2">
      <c r="A3129" s="1164"/>
      <c r="B3129" s="1164"/>
      <c r="D3129" s="1224"/>
    </row>
    <row r="3130" spans="1:4" x14ac:dyDescent="0.2">
      <c r="A3130" s="1164"/>
      <c r="B3130" s="1164"/>
      <c r="D3130" s="1224"/>
    </row>
    <row r="3131" spans="1:4" x14ac:dyDescent="0.2">
      <c r="A3131" s="1164"/>
      <c r="B3131" s="1164"/>
      <c r="D3131" s="1224"/>
    </row>
    <row r="3132" spans="1:4" x14ac:dyDescent="0.2">
      <c r="A3132" s="1164"/>
      <c r="B3132" s="1164"/>
      <c r="D3132" s="1224"/>
    </row>
    <row r="3133" spans="1:4" x14ac:dyDescent="0.2">
      <c r="A3133" s="1164"/>
      <c r="B3133" s="1164"/>
      <c r="D3133" s="1224"/>
    </row>
    <row r="3134" spans="1:4" x14ac:dyDescent="0.2">
      <c r="A3134" s="1164"/>
      <c r="B3134" s="1164"/>
      <c r="D3134" s="1224"/>
    </row>
    <row r="3135" spans="1:4" x14ac:dyDescent="0.2">
      <c r="A3135" s="1164"/>
      <c r="B3135" s="1164"/>
      <c r="D3135" s="1224"/>
    </row>
    <row r="3136" spans="1:4" x14ac:dyDescent="0.2">
      <c r="A3136" s="1164"/>
      <c r="B3136" s="1164"/>
      <c r="D3136" s="1224"/>
    </row>
    <row r="3137" spans="1:4" x14ac:dyDescent="0.2">
      <c r="A3137" s="1164"/>
      <c r="B3137" s="1164"/>
      <c r="D3137" s="1224"/>
    </row>
    <row r="3138" spans="1:4" x14ac:dyDescent="0.2">
      <c r="A3138" s="1164"/>
      <c r="B3138" s="1164"/>
      <c r="D3138" s="1224"/>
    </row>
    <row r="3139" spans="1:4" x14ac:dyDescent="0.2">
      <c r="A3139" s="1164"/>
      <c r="B3139" s="1164"/>
      <c r="D3139" s="1224"/>
    </row>
    <row r="3140" spans="1:4" x14ac:dyDescent="0.2">
      <c r="A3140" s="1164"/>
      <c r="B3140" s="1164"/>
      <c r="D3140" s="1224"/>
    </row>
    <row r="3141" spans="1:4" x14ac:dyDescent="0.2">
      <c r="A3141" s="1164"/>
      <c r="B3141" s="1164"/>
      <c r="D3141" s="1224"/>
    </row>
    <row r="3142" spans="1:4" x14ac:dyDescent="0.2">
      <c r="A3142" s="1164"/>
      <c r="B3142" s="1164"/>
      <c r="D3142" s="1224"/>
    </row>
    <row r="3143" spans="1:4" x14ac:dyDescent="0.2">
      <c r="A3143" s="1164"/>
      <c r="B3143" s="1164"/>
      <c r="D3143" s="1224"/>
    </row>
    <row r="3144" spans="1:4" x14ac:dyDescent="0.2">
      <c r="A3144" s="1164"/>
      <c r="B3144" s="1164"/>
      <c r="D3144" s="1224"/>
    </row>
    <row r="3145" spans="1:4" x14ac:dyDescent="0.2">
      <c r="A3145" s="1164"/>
      <c r="B3145" s="1164"/>
      <c r="D3145" s="1224"/>
    </row>
    <row r="3146" spans="1:4" x14ac:dyDescent="0.2">
      <c r="A3146" s="1164"/>
      <c r="B3146" s="1164"/>
      <c r="D3146" s="1224"/>
    </row>
    <row r="3147" spans="1:4" x14ac:dyDescent="0.2">
      <c r="A3147" s="1164"/>
      <c r="B3147" s="1164"/>
      <c r="D3147" s="1224"/>
    </row>
    <row r="3148" spans="1:4" x14ac:dyDescent="0.2">
      <c r="A3148" s="1164"/>
      <c r="B3148" s="1164"/>
      <c r="D3148" s="1224"/>
    </row>
    <row r="3149" spans="1:4" x14ac:dyDescent="0.2">
      <c r="A3149" s="1164"/>
      <c r="B3149" s="1164"/>
      <c r="D3149" s="1224"/>
    </row>
    <row r="3150" spans="1:4" x14ac:dyDescent="0.2">
      <c r="A3150" s="1164"/>
      <c r="B3150" s="1164"/>
      <c r="D3150" s="1224"/>
    </row>
    <row r="3151" spans="1:4" x14ac:dyDescent="0.2">
      <c r="A3151" s="1164"/>
      <c r="B3151" s="1164"/>
      <c r="D3151" s="1224"/>
    </row>
    <row r="3152" spans="1:4" x14ac:dyDescent="0.2">
      <c r="A3152" s="1164"/>
      <c r="B3152" s="1164"/>
      <c r="D3152" s="1224"/>
    </row>
    <row r="3153" spans="1:4" x14ac:dyDescent="0.2">
      <c r="A3153" s="1164"/>
      <c r="B3153" s="1164"/>
      <c r="D3153" s="1224"/>
    </row>
    <row r="3154" spans="1:4" x14ac:dyDescent="0.2">
      <c r="A3154" s="1164"/>
      <c r="B3154" s="1164"/>
      <c r="D3154" s="1224"/>
    </row>
    <row r="3155" spans="1:4" x14ac:dyDescent="0.2">
      <c r="A3155" s="1164"/>
      <c r="B3155" s="1164"/>
      <c r="D3155" s="1224"/>
    </row>
    <row r="3156" spans="1:4" x14ac:dyDescent="0.2">
      <c r="A3156" s="1164"/>
      <c r="B3156" s="1164"/>
      <c r="D3156" s="1224"/>
    </row>
    <row r="3157" spans="1:4" x14ac:dyDescent="0.2">
      <c r="A3157" s="1164"/>
      <c r="B3157" s="1164"/>
      <c r="D3157" s="1224"/>
    </row>
    <row r="3158" spans="1:4" x14ac:dyDescent="0.2">
      <c r="A3158" s="1164"/>
      <c r="B3158" s="1164"/>
      <c r="D3158" s="1224"/>
    </row>
    <row r="3159" spans="1:4" x14ac:dyDescent="0.2">
      <c r="A3159" s="1164"/>
      <c r="B3159" s="1164"/>
      <c r="D3159" s="1224"/>
    </row>
    <row r="3160" spans="1:4" x14ac:dyDescent="0.2">
      <c r="A3160" s="1164"/>
      <c r="B3160" s="1164"/>
      <c r="D3160" s="1224"/>
    </row>
    <row r="3161" spans="1:4" x14ac:dyDescent="0.2">
      <c r="A3161" s="1164"/>
      <c r="B3161" s="1164"/>
      <c r="D3161" s="1224"/>
    </row>
    <row r="3162" spans="1:4" x14ac:dyDescent="0.2">
      <c r="A3162" s="1164"/>
      <c r="B3162" s="1164"/>
      <c r="D3162" s="1224"/>
    </row>
    <row r="3163" spans="1:4" x14ac:dyDescent="0.2">
      <c r="A3163" s="1164"/>
      <c r="B3163" s="1164"/>
      <c r="D3163" s="1224"/>
    </row>
    <row r="3164" spans="1:4" x14ac:dyDescent="0.2">
      <c r="A3164" s="1164"/>
      <c r="B3164" s="1164"/>
      <c r="D3164" s="1224"/>
    </row>
    <row r="3165" spans="1:4" x14ac:dyDescent="0.2">
      <c r="A3165" s="1164"/>
      <c r="B3165" s="1164"/>
      <c r="D3165" s="1224"/>
    </row>
    <row r="3166" spans="1:4" x14ac:dyDescent="0.2">
      <c r="A3166" s="1164"/>
      <c r="B3166" s="1164"/>
      <c r="D3166" s="1224"/>
    </row>
    <row r="3167" spans="1:4" x14ac:dyDescent="0.2">
      <c r="A3167" s="1164"/>
      <c r="B3167" s="1164"/>
      <c r="D3167" s="1224"/>
    </row>
    <row r="3168" spans="1:4" x14ac:dyDescent="0.2">
      <c r="A3168" s="1164"/>
      <c r="B3168" s="1164"/>
      <c r="D3168" s="1224"/>
    </row>
    <row r="3169" spans="1:4" x14ac:dyDescent="0.2">
      <c r="A3169" s="1164"/>
      <c r="B3169" s="1164"/>
      <c r="D3169" s="1224"/>
    </row>
    <row r="3170" spans="1:4" x14ac:dyDescent="0.2">
      <c r="A3170" s="1164"/>
      <c r="B3170" s="1164"/>
      <c r="D3170" s="1224"/>
    </row>
    <row r="3171" spans="1:4" x14ac:dyDescent="0.2">
      <c r="A3171" s="1164"/>
      <c r="B3171" s="1164"/>
      <c r="D3171" s="1224"/>
    </row>
    <row r="3172" spans="1:4" x14ac:dyDescent="0.2">
      <c r="A3172" s="1164"/>
      <c r="B3172" s="1164"/>
      <c r="D3172" s="1224"/>
    </row>
    <row r="3173" spans="1:4" x14ac:dyDescent="0.2">
      <c r="A3173" s="1164"/>
      <c r="B3173" s="1164"/>
      <c r="D3173" s="1224"/>
    </row>
    <row r="3174" spans="1:4" x14ac:dyDescent="0.2">
      <c r="A3174" s="1164"/>
      <c r="B3174" s="1164"/>
      <c r="D3174" s="1224"/>
    </row>
    <row r="3175" spans="1:4" x14ac:dyDescent="0.2">
      <c r="A3175" s="1164"/>
      <c r="B3175" s="1164"/>
      <c r="D3175" s="1224"/>
    </row>
    <row r="3176" spans="1:4" x14ac:dyDescent="0.2">
      <c r="A3176" s="1164"/>
      <c r="B3176" s="1164"/>
      <c r="D3176" s="1224"/>
    </row>
    <row r="3177" spans="1:4" x14ac:dyDescent="0.2">
      <c r="A3177" s="1164"/>
      <c r="B3177" s="1164"/>
      <c r="D3177" s="1224"/>
    </row>
    <row r="3178" spans="1:4" x14ac:dyDescent="0.2">
      <c r="A3178" s="1164"/>
      <c r="B3178" s="1164"/>
      <c r="D3178" s="1224"/>
    </row>
    <row r="3179" spans="1:4" x14ac:dyDescent="0.2">
      <c r="A3179" s="1164"/>
      <c r="B3179" s="1164"/>
      <c r="D3179" s="1224"/>
    </row>
    <row r="3180" spans="1:4" x14ac:dyDescent="0.2">
      <c r="A3180" s="1164"/>
      <c r="B3180" s="1164"/>
      <c r="D3180" s="1224"/>
    </row>
    <row r="3181" spans="1:4" x14ac:dyDescent="0.2">
      <c r="A3181" s="1164"/>
      <c r="B3181" s="1164"/>
      <c r="D3181" s="1224"/>
    </row>
    <row r="3182" spans="1:4" x14ac:dyDescent="0.2">
      <c r="A3182" s="1164"/>
      <c r="B3182" s="1164"/>
      <c r="D3182" s="1224"/>
    </row>
    <row r="3183" spans="1:4" x14ac:dyDescent="0.2">
      <c r="A3183" s="1164"/>
      <c r="B3183" s="1164"/>
      <c r="D3183" s="1224"/>
    </row>
    <row r="3184" spans="1:4" x14ac:dyDescent="0.2">
      <c r="A3184" s="1164"/>
      <c r="B3184" s="1164"/>
      <c r="D3184" s="1224"/>
    </row>
    <row r="3185" spans="1:4" x14ac:dyDescent="0.2">
      <c r="A3185" s="1164"/>
      <c r="B3185" s="1164"/>
      <c r="D3185" s="1224"/>
    </row>
    <row r="3186" spans="1:4" x14ac:dyDescent="0.2">
      <c r="A3186" s="1164"/>
      <c r="B3186" s="1164"/>
      <c r="D3186" s="1224"/>
    </row>
    <row r="3187" spans="1:4" x14ac:dyDescent="0.2">
      <c r="A3187" s="1164"/>
      <c r="B3187" s="1164"/>
      <c r="D3187" s="1224"/>
    </row>
    <row r="3188" spans="1:4" x14ac:dyDescent="0.2">
      <c r="A3188" s="1164"/>
      <c r="B3188" s="1164"/>
      <c r="D3188" s="1224"/>
    </row>
    <row r="3189" spans="1:4" x14ac:dyDescent="0.2">
      <c r="A3189" s="1164"/>
      <c r="B3189" s="1164"/>
      <c r="D3189" s="1224"/>
    </row>
    <row r="3190" spans="1:4" x14ac:dyDescent="0.2">
      <c r="A3190" s="1164"/>
      <c r="B3190" s="1164"/>
      <c r="D3190" s="1224"/>
    </row>
    <row r="3191" spans="1:4" x14ac:dyDescent="0.2">
      <c r="A3191" s="1164"/>
      <c r="B3191" s="1164"/>
      <c r="D3191" s="1224"/>
    </row>
    <row r="3192" spans="1:4" x14ac:dyDescent="0.2">
      <c r="A3192" s="1164"/>
      <c r="B3192" s="1164"/>
      <c r="D3192" s="1224"/>
    </row>
    <row r="3193" spans="1:4" x14ac:dyDescent="0.2">
      <c r="A3193" s="1164"/>
      <c r="B3193" s="1164"/>
      <c r="D3193" s="1224"/>
    </row>
    <row r="3194" spans="1:4" x14ac:dyDescent="0.2">
      <c r="A3194" s="1164"/>
      <c r="B3194" s="1164"/>
      <c r="D3194" s="1224"/>
    </row>
    <row r="3195" spans="1:4" x14ac:dyDescent="0.2">
      <c r="A3195" s="1164"/>
      <c r="B3195" s="1164"/>
      <c r="D3195" s="1224"/>
    </row>
    <row r="3196" spans="1:4" x14ac:dyDescent="0.2">
      <c r="A3196" s="1164"/>
      <c r="B3196" s="1164"/>
      <c r="D3196" s="1224"/>
    </row>
    <row r="3197" spans="1:4" x14ac:dyDescent="0.2">
      <c r="A3197" s="1164"/>
      <c r="B3197" s="1164"/>
      <c r="D3197" s="1224"/>
    </row>
    <row r="3198" spans="1:4" x14ac:dyDescent="0.2">
      <c r="A3198" s="1164"/>
      <c r="B3198" s="1164"/>
      <c r="D3198" s="1224"/>
    </row>
    <row r="3199" spans="1:4" x14ac:dyDescent="0.2">
      <c r="A3199" s="1164"/>
      <c r="B3199" s="1164"/>
      <c r="D3199" s="1224"/>
    </row>
    <row r="3200" spans="1:4" x14ac:dyDescent="0.2">
      <c r="A3200" s="1164"/>
      <c r="B3200" s="1164"/>
      <c r="D3200" s="1224"/>
    </row>
    <row r="3201" spans="1:4" x14ac:dyDescent="0.2">
      <c r="A3201" s="1164"/>
      <c r="B3201" s="1164"/>
      <c r="D3201" s="1224"/>
    </row>
    <row r="3202" spans="1:4" x14ac:dyDescent="0.2">
      <c r="A3202" s="1164"/>
      <c r="B3202" s="1164"/>
      <c r="D3202" s="1224"/>
    </row>
    <row r="3203" spans="1:4" x14ac:dyDescent="0.2">
      <c r="A3203" s="1164"/>
      <c r="B3203" s="1164"/>
      <c r="D3203" s="1224"/>
    </row>
    <row r="3204" spans="1:4" x14ac:dyDescent="0.2">
      <c r="A3204" s="1164"/>
      <c r="B3204" s="1164"/>
      <c r="D3204" s="1224"/>
    </row>
    <row r="3205" spans="1:4" x14ac:dyDescent="0.2">
      <c r="A3205" s="1164"/>
      <c r="B3205" s="1164"/>
      <c r="D3205" s="1224"/>
    </row>
    <row r="3206" spans="1:4" x14ac:dyDescent="0.2">
      <c r="A3206" s="1164"/>
      <c r="B3206" s="1164"/>
      <c r="D3206" s="1224"/>
    </row>
    <row r="3207" spans="1:4" x14ac:dyDescent="0.2">
      <c r="A3207" s="1164"/>
      <c r="B3207" s="1164"/>
      <c r="D3207" s="1224"/>
    </row>
    <row r="3208" spans="1:4" x14ac:dyDescent="0.2">
      <c r="A3208" s="1164"/>
      <c r="B3208" s="1164"/>
      <c r="D3208" s="1224"/>
    </row>
    <row r="3209" spans="1:4" x14ac:dyDescent="0.2">
      <c r="A3209" s="1164"/>
      <c r="B3209" s="1164"/>
      <c r="D3209" s="1224"/>
    </row>
    <row r="3210" spans="1:4" x14ac:dyDescent="0.2">
      <c r="A3210" s="1164"/>
      <c r="B3210" s="1164"/>
      <c r="D3210" s="1224"/>
    </row>
    <row r="3211" spans="1:4" x14ac:dyDescent="0.2">
      <c r="A3211" s="1164"/>
      <c r="B3211" s="1164"/>
      <c r="D3211" s="1224"/>
    </row>
    <row r="3212" spans="1:4" x14ac:dyDescent="0.2">
      <c r="A3212" s="1164"/>
      <c r="B3212" s="1164"/>
      <c r="D3212" s="1224"/>
    </row>
    <row r="3213" spans="1:4" x14ac:dyDescent="0.2">
      <c r="A3213" s="1164"/>
      <c r="B3213" s="1164"/>
      <c r="D3213" s="1224"/>
    </row>
    <row r="3214" spans="1:4" x14ac:dyDescent="0.2">
      <c r="A3214" s="1164"/>
      <c r="B3214" s="1164"/>
      <c r="D3214" s="1224"/>
    </row>
    <row r="3215" spans="1:4" x14ac:dyDescent="0.2">
      <c r="A3215" s="1164"/>
      <c r="B3215" s="1164"/>
      <c r="D3215" s="1224"/>
    </row>
    <row r="3216" spans="1:4" x14ac:dyDescent="0.2">
      <c r="A3216" s="1164"/>
      <c r="B3216" s="1164"/>
      <c r="D3216" s="1224"/>
    </row>
    <row r="3217" spans="1:4" x14ac:dyDescent="0.2">
      <c r="A3217" s="1164"/>
      <c r="B3217" s="1164"/>
      <c r="D3217" s="1224"/>
    </row>
    <row r="3218" spans="1:4" x14ac:dyDescent="0.2">
      <c r="A3218" s="1164"/>
      <c r="B3218" s="1164"/>
      <c r="D3218" s="1224"/>
    </row>
    <row r="3219" spans="1:4" x14ac:dyDescent="0.2">
      <c r="A3219" s="1164"/>
      <c r="B3219" s="1164"/>
      <c r="D3219" s="1224"/>
    </row>
    <row r="3220" spans="1:4" x14ac:dyDescent="0.2">
      <c r="A3220" s="1164"/>
      <c r="B3220" s="1164"/>
      <c r="D3220" s="1224"/>
    </row>
    <row r="3221" spans="1:4" x14ac:dyDescent="0.2">
      <c r="A3221" s="1164"/>
      <c r="B3221" s="1164"/>
      <c r="D3221" s="1224"/>
    </row>
    <row r="3222" spans="1:4" x14ac:dyDescent="0.2">
      <c r="A3222" s="1164"/>
      <c r="B3222" s="1164"/>
      <c r="D3222" s="1224"/>
    </row>
    <row r="3223" spans="1:4" x14ac:dyDescent="0.2">
      <c r="A3223" s="1164"/>
      <c r="B3223" s="1164"/>
      <c r="D3223" s="1224"/>
    </row>
    <row r="3224" spans="1:4" x14ac:dyDescent="0.2">
      <c r="A3224" s="1164"/>
      <c r="B3224" s="1164"/>
      <c r="D3224" s="1224"/>
    </row>
    <row r="3225" spans="1:4" x14ac:dyDescent="0.2">
      <c r="A3225" s="1164"/>
      <c r="B3225" s="1164"/>
      <c r="D3225" s="1224"/>
    </row>
    <row r="3226" spans="1:4" x14ac:dyDescent="0.2">
      <c r="A3226" s="1164"/>
      <c r="B3226" s="1164"/>
      <c r="D3226" s="1224"/>
    </row>
    <row r="3227" spans="1:4" x14ac:dyDescent="0.2">
      <c r="A3227" s="1164"/>
      <c r="B3227" s="1164"/>
      <c r="D3227" s="1224"/>
    </row>
    <row r="3228" spans="1:4" x14ac:dyDescent="0.2">
      <c r="A3228" s="1164"/>
      <c r="B3228" s="1164"/>
      <c r="D3228" s="1224"/>
    </row>
    <row r="3229" spans="1:4" x14ac:dyDescent="0.2">
      <c r="A3229" s="1164"/>
      <c r="B3229" s="1164"/>
      <c r="D3229" s="1224"/>
    </row>
    <row r="3230" spans="1:4" x14ac:dyDescent="0.2">
      <c r="A3230" s="1164"/>
      <c r="B3230" s="1164"/>
      <c r="D3230" s="1224"/>
    </row>
    <row r="3231" spans="1:4" x14ac:dyDescent="0.2">
      <c r="A3231" s="1164"/>
      <c r="B3231" s="1164"/>
      <c r="D3231" s="1224"/>
    </row>
    <row r="3232" spans="1:4" x14ac:dyDescent="0.2">
      <c r="A3232" s="1164"/>
      <c r="B3232" s="1164"/>
      <c r="D3232" s="1224"/>
    </row>
    <row r="3233" spans="1:4" x14ac:dyDescent="0.2">
      <c r="A3233" s="1164"/>
      <c r="B3233" s="1164"/>
      <c r="D3233" s="1224"/>
    </row>
    <row r="3234" spans="1:4" x14ac:dyDescent="0.2">
      <c r="A3234" s="1164"/>
      <c r="B3234" s="1164"/>
      <c r="D3234" s="1224"/>
    </row>
    <row r="3235" spans="1:4" x14ac:dyDescent="0.2">
      <c r="A3235" s="1164"/>
      <c r="B3235" s="1164"/>
      <c r="D3235" s="1224"/>
    </row>
    <row r="3236" spans="1:4" x14ac:dyDescent="0.2">
      <c r="A3236" s="1164"/>
      <c r="B3236" s="1164"/>
      <c r="D3236" s="1224"/>
    </row>
    <row r="3237" spans="1:4" x14ac:dyDescent="0.2">
      <c r="A3237" s="1164"/>
      <c r="B3237" s="1164"/>
      <c r="D3237" s="1224"/>
    </row>
    <row r="3238" spans="1:4" x14ac:dyDescent="0.2">
      <c r="A3238" s="1164"/>
      <c r="B3238" s="1164"/>
      <c r="D3238" s="1224"/>
    </row>
    <row r="3239" spans="1:4" x14ac:dyDescent="0.2">
      <c r="A3239" s="1164"/>
      <c r="B3239" s="1164"/>
      <c r="D3239" s="1224"/>
    </row>
    <row r="3240" spans="1:4" x14ac:dyDescent="0.2">
      <c r="A3240" s="1164"/>
      <c r="B3240" s="1164"/>
      <c r="D3240" s="1224"/>
    </row>
    <row r="3241" spans="1:4" x14ac:dyDescent="0.2">
      <c r="A3241" s="1164"/>
      <c r="B3241" s="1164"/>
      <c r="D3241" s="1224"/>
    </row>
    <row r="3242" spans="1:4" x14ac:dyDescent="0.2">
      <c r="A3242" s="1164"/>
      <c r="B3242" s="1164"/>
      <c r="D3242" s="1224"/>
    </row>
    <row r="3243" spans="1:4" x14ac:dyDescent="0.2">
      <c r="A3243" s="1164"/>
      <c r="B3243" s="1164"/>
      <c r="D3243" s="1224"/>
    </row>
    <row r="3244" spans="1:4" x14ac:dyDescent="0.2">
      <c r="A3244" s="1164"/>
      <c r="B3244" s="1164"/>
      <c r="D3244" s="1224"/>
    </row>
    <row r="3245" spans="1:4" x14ac:dyDescent="0.2">
      <c r="A3245" s="1164"/>
      <c r="B3245" s="1164"/>
      <c r="D3245" s="1224"/>
    </row>
    <row r="3246" spans="1:4" x14ac:dyDescent="0.2">
      <c r="A3246" s="1164"/>
      <c r="B3246" s="1164"/>
      <c r="D3246" s="1224"/>
    </row>
    <row r="3247" spans="1:4" x14ac:dyDescent="0.2">
      <c r="A3247" s="1164"/>
      <c r="B3247" s="1164"/>
      <c r="D3247" s="1224"/>
    </row>
    <row r="3248" spans="1:4" x14ac:dyDescent="0.2">
      <c r="A3248" s="1164"/>
      <c r="B3248" s="1164"/>
      <c r="D3248" s="1224"/>
    </row>
    <row r="3249" spans="1:4" x14ac:dyDescent="0.2">
      <c r="A3249" s="1164"/>
      <c r="B3249" s="1164"/>
      <c r="D3249" s="1224"/>
    </row>
    <row r="3250" spans="1:4" x14ac:dyDescent="0.2">
      <c r="A3250" s="1164"/>
      <c r="B3250" s="1164"/>
      <c r="D3250" s="1224"/>
    </row>
    <row r="3251" spans="1:4" x14ac:dyDescent="0.2">
      <c r="A3251" s="1164"/>
      <c r="B3251" s="1164"/>
      <c r="D3251" s="1224"/>
    </row>
    <row r="3252" spans="1:4" x14ac:dyDescent="0.2">
      <c r="A3252" s="1164"/>
      <c r="B3252" s="1164"/>
      <c r="D3252" s="1224"/>
    </row>
    <row r="3253" spans="1:4" x14ac:dyDescent="0.2">
      <c r="A3253" s="1164"/>
      <c r="B3253" s="1164"/>
      <c r="D3253" s="1224"/>
    </row>
    <row r="3254" spans="1:4" x14ac:dyDescent="0.2">
      <c r="A3254" s="1164"/>
      <c r="B3254" s="1164"/>
      <c r="D3254" s="1224"/>
    </row>
    <row r="3255" spans="1:4" x14ac:dyDescent="0.2">
      <c r="A3255" s="1164"/>
      <c r="B3255" s="1164"/>
      <c r="D3255" s="1224"/>
    </row>
    <row r="3256" spans="1:4" x14ac:dyDescent="0.2">
      <c r="A3256" s="1164"/>
      <c r="B3256" s="1164"/>
      <c r="D3256" s="1224"/>
    </row>
    <row r="3257" spans="1:4" x14ac:dyDescent="0.2">
      <c r="A3257" s="1164"/>
      <c r="B3257" s="1164"/>
      <c r="D3257" s="1224"/>
    </row>
    <row r="3258" spans="1:4" x14ac:dyDescent="0.2">
      <c r="A3258" s="1164"/>
      <c r="B3258" s="1164"/>
      <c r="D3258" s="1224"/>
    </row>
    <row r="3259" spans="1:4" x14ac:dyDescent="0.2">
      <c r="A3259" s="1164"/>
      <c r="B3259" s="1164"/>
      <c r="D3259" s="1224"/>
    </row>
    <row r="3260" spans="1:4" x14ac:dyDescent="0.2">
      <c r="A3260" s="1164"/>
      <c r="B3260" s="1164"/>
      <c r="D3260" s="1224"/>
    </row>
    <row r="3261" spans="1:4" x14ac:dyDescent="0.2">
      <c r="A3261" s="1164"/>
      <c r="B3261" s="1164"/>
      <c r="D3261" s="1224"/>
    </row>
    <row r="3262" spans="1:4" x14ac:dyDescent="0.2">
      <c r="A3262" s="1164"/>
      <c r="B3262" s="1164"/>
      <c r="D3262" s="1224"/>
    </row>
    <row r="3263" spans="1:4" x14ac:dyDescent="0.2">
      <c r="A3263" s="1164"/>
      <c r="B3263" s="1164"/>
      <c r="D3263" s="1224"/>
    </row>
    <row r="3264" spans="1:4" x14ac:dyDescent="0.2">
      <c r="A3264" s="1164"/>
      <c r="B3264" s="1164"/>
      <c r="D3264" s="1224"/>
    </row>
    <row r="3265" spans="1:4" x14ac:dyDescent="0.2">
      <c r="A3265" s="1164"/>
      <c r="B3265" s="1164"/>
      <c r="D3265" s="1224"/>
    </row>
    <row r="3266" spans="1:4" x14ac:dyDescent="0.2">
      <c r="A3266" s="1164"/>
      <c r="B3266" s="1164"/>
      <c r="D3266" s="1224"/>
    </row>
    <row r="3267" spans="1:4" x14ac:dyDescent="0.2">
      <c r="A3267" s="1164"/>
      <c r="B3267" s="1164"/>
      <c r="D3267" s="1224"/>
    </row>
    <row r="3268" spans="1:4" x14ac:dyDescent="0.2">
      <c r="A3268" s="1164"/>
      <c r="B3268" s="1164"/>
      <c r="D3268" s="1224"/>
    </row>
    <row r="3269" spans="1:4" x14ac:dyDescent="0.2">
      <c r="A3269" s="1164"/>
      <c r="B3269" s="1164"/>
      <c r="D3269" s="1224"/>
    </row>
    <row r="3270" spans="1:4" x14ac:dyDescent="0.2">
      <c r="A3270" s="1164"/>
      <c r="B3270" s="1164"/>
      <c r="D3270" s="1224"/>
    </row>
    <row r="3271" spans="1:4" x14ac:dyDescent="0.2">
      <c r="A3271" s="1164"/>
      <c r="B3271" s="1164"/>
      <c r="D3271" s="1224"/>
    </row>
    <row r="3272" spans="1:4" x14ac:dyDescent="0.2">
      <c r="A3272" s="1164"/>
      <c r="B3272" s="1164"/>
      <c r="D3272" s="1224"/>
    </row>
    <row r="3273" spans="1:4" x14ac:dyDescent="0.2">
      <c r="A3273" s="1164"/>
      <c r="B3273" s="1164"/>
      <c r="D3273" s="1224"/>
    </row>
    <row r="3274" spans="1:4" x14ac:dyDescent="0.2">
      <c r="A3274" s="1164"/>
      <c r="B3274" s="1164"/>
      <c r="D3274" s="1224"/>
    </row>
    <row r="3275" spans="1:4" x14ac:dyDescent="0.2">
      <c r="A3275" s="1164"/>
      <c r="B3275" s="1164"/>
      <c r="D3275" s="1224"/>
    </row>
    <row r="3276" spans="1:4" x14ac:dyDescent="0.2">
      <c r="A3276" s="1164"/>
      <c r="B3276" s="1164"/>
      <c r="D3276" s="1224"/>
    </row>
    <row r="3277" spans="1:4" x14ac:dyDescent="0.2">
      <c r="A3277" s="1164"/>
      <c r="B3277" s="1164"/>
      <c r="D3277" s="1224"/>
    </row>
    <row r="3278" spans="1:4" x14ac:dyDescent="0.2">
      <c r="A3278" s="1164"/>
      <c r="B3278" s="1164"/>
      <c r="D3278" s="1224"/>
    </row>
    <row r="3279" spans="1:4" x14ac:dyDescent="0.2">
      <c r="A3279" s="1164"/>
      <c r="B3279" s="1164"/>
      <c r="D3279" s="1224"/>
    </row>
    <row r="3280" spans="1:4" x14ac:dyDescent="0.2">
      <c r="A3280" s="1164"/>
      <c r="B3280" s="1164"/>
      <c r="D3280" s="1224"/>
    </row>
    <row r="3281" spans="1:4" x14ac:dyDescent="0.2">
      <c r="A3281" s="1164"/>
      <c r="B3281" s="1164"/>
      <c r="D3281" s="1224"/>
    </row>
    <row r="3282" spans="1:4" x14ac:dyDescent="0.2">
      <c r="A3282" s="1164"/>
      <c r="B3282" s="1164"/>
      <c r="D3282" s="1224"/>
    </row>
    <row r="3283" spans="1:4" x14ac:dyDescent="0.2">
      <c r="A3283" s="1164"/>
      <c r="B3283" s="1164"/>
      <c r="D3283" s="1224"/>
    </row>
    <row r="3284" spans="1:4" x14ac:dyDescent="0.2">
      <c r="A3284" s="1164"/>
      <c r="B3284" s="1164"/>
      <c r="D3284" s="1224"/>
    </row>
    <row r="3285" spans="1:4" x14ac:dyDescent="0.2">
      <c r="A3285" s="1164"/>
      <c r="B3285" s="1164"/>
      <c r="D3285" s="1224"/>
    </row>
    <row r="3286" spans="1:4" x14ac:dyDescent="0.2">
      <c r="A3286" s="1164"/>
      <c r="B3286" s="1164"/>
      <c r="D3286" s="1224"/>
    </row>
    <row r="3287" spans="1:4" x14ac:dyDescent="0.2">
      <c r="A3287" s="1164"/>
      <c r="B3287" s="1164"/>
      <c r="D3287" s="1224"/>
    </row>
    <row r="3288" spans="1:4" x14ac:dyDescent="0.2">
      <c r="A3288" s="1164"/>
      <c r="B3288" s="1164"/>
      <c r="D3288" s="1224"/>
    </row>
    <row r="3289" spans="1:4" x14ac:dyDescent="0.2">
      <c r="A3289" s="1164"/>
      <c r="B3289" s="1164"/>
      <c r="D3289" s="1224"/>
    </row>
    <row r="3290" spans="1:4" x14ac:dyDescent="0.2">
      <c r="A3290" s="1164"/>
      <c r="B3290" s="1164"/>
      <c r="D3290" s="1224"/>
    </row>
    <row r="3291" spans="1:4" x14ac:dyDescent="0.2">
      <c r="A3291" s="1164"/>
      <c r="B3291" s="1164"/>
      <c r="D3291" s="1224"/>
    </row>
    <row r="3292" spans="1:4" x14ac:dyDescent="0.2">
      <c r="A3292" s="1164"/>
      <c r="B3292" s="1164"/>
      <c r="D3292" s="1224"/>
    </row>
    <row r="3293" spans="1:4" x14ac:dyDescent="0.2">
      <c r="A3293" s="1164"/>
      <c r="B3293" s="1164"/>
      <c r="D3293" s="1224"/>
    </row>
    <row r="3294" spans="1:4" x14ac:dyDescent="0.2">
      <c r="A3294" s="1164"/>
      <c r="B3294" s="1164"/>
      <c r="D3294" s="1224"/>
    </row>
    <row r="3295" spans="1:4" x14ac:dyDescent="0.2">
      <c r="A3295" s="1164"/>
      <c r="B3295" s="1164"/>
      <c r="D3295" s="1224"/>
    </row>
    <row r="3296" spans="1:4" x14ac:dyDescent="0.2">
      <c r="A3296" s="1164"/>
      <c r="B3296" s="1164"/>
      <c r="D3296" s="1224"/>
    </row>
    <row r="3297" spans="1:4" x14ac:dyDescent="0.2">
      <c r="A3297" s="1164"/>
      <c r="B3297" s="1164"/>
      <c r="D3297" s="1224"/>
    </row>
    <row r="3298" spans="1:4" x14ac:dyDescent="0.2">
      <c r="A3298" s="1164"/>
      <c r="B3298" s="1164"/>
      <c r="D3298" s="1224"/>
    </row>
    <row r="3299" spans="1:4" x14ac:dyDescent="0.2">
      <c r="A3299" s="1164"/>
      <c r="B3299" s="1164"/>
      <c r="D3299" s="1224"/>
    </row>
    <row r="3300" spans="1:4" x14ac:dyDescent="0.2">
      <c r="A3300" s="1164"/>
      <c r="B3300" s="1164"/>
      <c r="D3300" s="1224"/>
    </row>
    <row r="3301" spans="1:4" x14ac:dyDescent="0.2">
      <c r="A3301" s="1164"/>
      <c r="B3301" s="1164"/>
      <c r="D3301" s="1224"/>
    </row>
    <row r="3302" spans="1:4" x14ac:dyDescent="0.2">
      <c r="A3302" s="1164"/>
      <c r="B3302" s="1164"/>
      <c r="D3302" s="1224"/>
    </row>
    <row r="3303" spans="1:4" x14ac:dyDescent="0.2">
      <c r="A3303" s="1164"/>
      <c r="B3303" s="1164"/>
      <c r="D3303" s="1224"/>
    </row>
    <row r="3304" spans="1:4" x14ac:dyDescent="0.2">
      <c r="A3304" s="1164"/>
      <c r="B3304" s="1164"/>
      <c r="D3304" s="1224"/>
    </row>
    <row r="3305" spans="1:4" x14ac:dyDescent="0.2">
      <c r="A3305" s="1164"/>
      <c r="B3305" s="1164"/>
      <c r="D3305" s="1224"/>
    </row>
    <row r="3306" spans="1:4" x14ac:dyDescent="0.2">
      <c r="A3306" s="1164"/>
      <c r="B3306" s="1164"/>
      <c r="D3306" s="1224"/>
    </row>
    <row r="3307" spans="1:4" x14ac:dyDescent="0.2">
      <c r="A3307" s="1164"/>
      <c r="B3307" s="1164"/>
      <c r="D3307" s="1224"/>
    </row>
    <row r="3308" spans="1:4" x14ac:dyDescent="0.2">
      <c r="A3308" s="1164"/>
      <c r="B3308" s="1164"/>
      <c r="D3308" s="1224"/>
    </row>
    <row r="3309" spans="1:4" x14ac:dyDescent="0.2">
      <c r="A3309" s="1164"/>
      <c r="B3309" s="1164"/>
      <c r="D3309" s="1224"/>
    </row>
    <row r="3310" spans="1:4" x14ac:dyDescent="0.2">
      <c r="A3310" s="1164"/>
      <c r="B3310" s="1164"/>
      <c r="D3310" s="1224"/>
    </row>
    <row r="3311" spans="1:4" x14ac:dyDescent="0.2">
      <c r="A3311" s="1164"/>
      <c r="B3311" s="1164"/>
      <c r="D3311" s="1224"/>
    </row>
    <row r="3312" spans="1:4" x14ac:dyDescent="0.2">
      <c r="A3312" s="1164"/>
      <c r="B3312" s="1164"/>
      <c r="D3312" s="1224"/>
    </row>
    <row r="3313" spans="1:4" x14ac:dyDescent="0.2">
      <c r="A3313" s="1164"/>
      <c r="B3313" s="1164"/>
      <c r="D3313" s="1224"/>
    </row>
    <row r="3314" spans="1:4" x14ac:dyDescent="0.2">
      <c r="A3314" s="1164"/>
      <c r="B3314" s="1164"/>
      <c r="D3314" s="1224"/>
    </row>
    <row r="3315" spans="1:4" x14ac:dyDescent="0.2">
      <c r="A3315" s="1164"/>
      <c r="B3315" s="1164"/>
      <c r="D3315" s="1224"/>
    </row>
    <row r="3316" spans="1:4" x14ac:dyDescent="0.2">
      <c r="A3316" s="1164"/>
      <c r="B3316" s="1164"/>
      <c r="D3316" s="1224"/>
    </row>
    <row r="3317" spans="1:4" x14ac:dyDescent="0.2">
      <c r="A3317" s="1164"/>
      <c r="B3317" s="1164"/>
      <c r="D3317" s="1224"/>
    </row>
    <row r="3318" spans="1:4" x14ac:dyDescent="0.2">
      <c r="A3318" s="1164"/>
      <c r="B3318" s="1164"/>
      <c r="D3318" s="1224"/>
    </row>
    <row r="3319" spans="1:4" x14ac:dyDescent="0.2">
      <c r="A3319" s="1164"/>
      <c r="B3319" s="1164"/>
      <c r="D3319" s="1224"/>
    </row>
    <row r="3320" spans="1:4" x14ac:dyDescent="0.2">
      <c r="A3320" s="1164"/>
      <c r="B3320" s="1164"/>
      <c r="D3320" s="1224"/>
    </row>
    <row r="3321" spans="1:4" x14ac:dyDescent="0.2">
      <c r="A3321" s="1164"/>
      <c r="B3321" s="1164"/>
      <c r="D3321" s="1224"/>
    </row>
    <row r="3322" spans="1:4" x14ac:dyDescent="0.2">
      <c r="A3322" s="1164"/>
      <c r="B3322" s="1164"/>
      <c r="D3322" s="1224"/>
    </row>
    <row r="3323" spans="1:4" x14ac:dyDescent="0.2">
      <c r="A3323" s="1164"/>
      <c r="B3323" s="1164"/>
      <c r="D3323" s="1224"/>
    </row>
    <row r="3324" spans="1:4" x14ac:dyDescent="0.2">
      <c r="A3324" s="1164"/>
      <c r="B3324" s="1164"/>
      <c r="D3324" s="1224"/>
    </row>
    <row r="3325" spans="1:4" x14ac:dyDescent="0.2">
      <c r="A3325" s="1164"/>
      <c r="B3325" s="1164"/>
      <c r="D3325" s="1224"/>
    </row>
    <row r="3326" spans="1:4" x14ac:dyDescent="0.2">
      <c r="A3326" s="1164"/>
      <c r="B3326" s="1164"/>
      <c r="D3326" s="1224"/>
    </row>
    <row r="3327" spans="1:4" x14ac:dyDescent="0.2">
      <c r="A3327" s="1164"/>
      <c r="B3327" s="1164"/>
      <c r="D3327" s="1224"/>
    </row>
    <row r="3328" spans="1:4" x14ac:dyDescent="0.2">
      <c r="A3328" s="1164"/>
      <c r="B3328" s="1164"/>
      <c r="D3328" s="1224"/>
    </row>
    <row r="3329" spans="1:4" x14ac:dyDescent="0.2">
      <c r="A3329" s="1164"/>
      <c r="B3329" s="1164"/>
      <c r="D3329" s="1224"/>
    </row>
    <row r="3330" spans="1:4" x14ac:dyDescent="0.2">
      <c r="A3330" s="1164"/>
      <c r="B3330" s="1164"/>
      <c r="D3330" s="1224"/>
    </row>
    <row r="3331" spans="1:4" x14ac:dyDescent="0.2">
      <c r="A3331" s="1164"/>
      <c r="B3331" s="1164"/>
      <c r="D3331" s="1224"/>
    </row>
    <row r="3332" spans="1:4" x14ac:dyDescent="0.2">
      <c r="A3332" s="1164"/>
      <c r="B3332" s="1164"/>
      <c r="D3332" s="1224"/>
    </row>
    <row r="3333" spans="1:4" x14ac:dyDescent="0.2">
      <c r="A3333" s="1164"/>
      <c r="B3333" s="1164"/>
      <c r="D3333" s="1224"/>
    </row>
    <row r="3334" spans="1:4" x14ac:dyDescent="0.2">
      <c r="A3334" s="1164"/>
      <c r="B3334" s="1164"/>
      <c r="D3334" s="1224"/>
    </row>
    <row r="3335" spans="1:4" x14ac:dyDescent="0.2">
      <c r="A3335" s="1164"/>
      <c r="B3335" s="1164"/>
      <c r="D3335" s="1224"/>
    </row>
    <row r="3336" spans="1:4" x14ac:dyDescent="0.2">
      <c r="A3336" s="1164"/>
      <c r="B3336" s="1164"/>
      <c r="D3336" s="1224"/>
    </row>
    <row r="3337" spans="1:4" x14ac:dyDescent="0.2">
      <c r="A3337" s="1164"/>
      <c r="B3337" s="1164"/>
      <c r="D3337" s="1224"/>
    </row>
    <row r="3338" spans="1:4" x14ac:dyDescent="0.2">
      <c r="A3338" s="1164"/>
      <c r="B3338" s="1164"/>
      <c r="D3338" s="1224"/>
    </row>
    <row r="3339" spans="1:4" x14ac:dyDescent="0.2">
      <c r="A3339" s="1164"/>
      <c r="B3339" s="1164"/>
      <c r="D3339" s="1224"/>
    </row>
    <row r="3340" spans="1:4" x14ac:dyDescent="0.2">
      <c r="A3340" s="1164"/>
      <c r="B3340" s="1164"/>
      <c r="D3340" s="1224"/>
    </row>
    <row r="3341" spans="1:4" x14ac:dyDescent="0.2">
      <c r="A3341" s="1164"/>
      <c r="B3341" s="1164"/>
      <c r="D3341" s="1224"/>
    </row>
    <row r="3342" spans="1:4" x14ac:dyDescent="0.2">
      <c r="A3342" s="1164"/>
      <c r="B3342" s="1164"/>
      <c r="D3342" s="1224"/>
    </row>
    <row r="3343" spans="1:4" x14ac:dyDescent="0.2">
      <c r="A3343" s="1164"/>
      <c r="B3343" s="1164"/>
      <c r="D3343" s="1224"/>
    </row>
    <row r="3344" spans="1:4" x14ac:dyDescent="0.2">
      <c r="A3344" s="1164"/>
      <c r="B3344" s="1164"/>
      <c r="D3344" s="1224"/>
    </row>
    <row r="3345" spans="1:4" x14ac:dyDescent="0.2">
      <c r="A3345" s="1164"/>
      <c r="B3345" s="1164"/>
      <c r="D3345" s="1224"/>
    </row>
    <row r="3346" spans="1:4" x14ac:dyDescent="0.2">
      <c r="A3346" s="1164"/>
      <c r="B3346" s="1164"/>
      <c r="D3346" s="1224"/>
    </row>
    <row r="3347" spans="1:4" x14ac:dyDescent="0.2">
      <c r="A3347" s="1164"/>
      <c r="B3347" s="1164"/>
      <c r="D3347" s="1224"/>
    </row>
    <row r="3348" spans="1:4" x14ac:dyDescent="0.2">
      <c r="A3348" s="1164"/>
      <c r="B3348" s="1164"/>
      <c r="D3348" s="1224"/>
    </row>
    <row r="3349" spans="1:4" x14ac:dyDescent="0.2">
      <c r="A3349" s="1164"/>
      <c r="B3349" s="1164"/>
      <c r="D3349" s="1224"/>
    </row>
    <row r="3350" spans="1:4" x14ac:dyDescent="0.2">
      <c r="A3350" s="1164"/>
      <c r="B3350" s="1164"/>
      <c r="D3350" s="1224"/>
    </row>
    <row r="3351" spans="1:4" x14ac:dyDescent="0.2">
      <c r="A3351" s="1164"/>
      <c r="B3351" s="1164"/>
      <c r="D3351" s="1224"/>
    </row>
    <row r="3352" spans="1:4" x14ac:dyDescent="0.2">
      <c r="A3352" s="1164"/>
      <c r="B3352" s="1164"/>
      <c r="D3352" s="1224"/>
    </row>
    <row r="3353" spans="1:4" x14ac:dyDescent="0.2">
      <c r="A3353" s="1164"/>
      <c r="B3353" s="1164"/>
      <c r="D3353" s="1224"/>
    </row>
    <row r="3354" spans="1:4" x14ac:dyDescent="0.2">
      <c r="A3354" s="1164"/>
      <c r="B3354" s="1164"/>
      <c r="D3354" s="1224"/>
    </row>
    <row r="3355" spans="1:4" x14ac:dyDescent="0.2">
      <c r="A3355" s="1164"/>
      <c r="B3355" s="1164"/>
      <c r="D3355" s="1224"/>
    </row>
    <row r="3356" spans="1:4" x14ac:dyDescent="0.2">
      <c r="A3356" s="1164"/>
      <c r="B3356" s="1164"/>
      <c r="D3356" s="1224"/>
    </row>
    <row r="3357" spans="1:4" x14ac:dyDescent="0.2">
      <c r="A3357" s="1164"/>
      <c r="B3357" s="1164"/>
      <c r="D3357" s="1224"/>
    </row>
    <row r="3358" spans="1:4" x14ac:dyDescent="0.2">
      <c r="A3358" s="1164"/>
      <c r="B3358" s="1164"/>
      <c r="D3358" s="1224"/>
    </row>
    <row r="3359" spans="1:4" x14ac:dyDescent="0.2">
      <c r="A3359" s="1164"/>
      <c r="B3359" s="1164"/>
      <c r="D3359" s="1224"/>
    </row>
    <row r="3360" spans="1:4" x14ac:dyDescent="0.2">
      <c r="A3360" s="1164"/>
      <c r="B3360" s="1164"/>
      <c r="D3360" s="1224"/>
    </row>
    <row r="3361" spans="1:4" x14ac:dyDescent="0.2">
      <c r="A3361" s="1164"/>
      <c r="B3361" s="1164"/>
      <c r="D3361" s="1224"/>
    </row>
    <row r="3362" spans="1:4" x14ac:dyDescent="0.2">
      <c r="A3362" s="1164"/>
      <c r="B3362" s="1164"/>
      <c r="D3362" s="1224"/>
    </row>
    <row r="3363" spans="1:4" x14ac:dyDescent="0.2">
      <c r="A3363" s="1164"/>
      <c r="B3363" s="1164"/>
      <c r="D3363" s="1224"/>
    </row>
    <row r="3364" spans="1:4" x14ac:dyDescent="0.2">
      <c r="A3364" s="1164"/>
      <c r="B3364" s="1164"/>
      <c r="D3364" s="1224"/>
    </row>
    <row r="3365" spans="1:4" x14ac:dyDescent="0.2">
      <c r="A3365" s="1164"/>
      <c r="B3365" s="1164"/>
      <c r="D3365" s="1224"/>
    </row>
    <row r="3366" spans="1:4" x14ac:dyDescent="0.2">
      <c r="A3366" s="1164"/>
      <c r="B3366" s="1164"/>
      <c r="D3366" s="1224"/>
    </row>
    <row r="3367" spans="1:4" x14ac:dyDescent="0.2">
      <c r="A3367" s="1164"/>
      <c r="B3367" s="1164"/>
      <c r="D3367" s="1224"/>
    </row>
    <row r="3368" spans="1:4" x14ac:dyDescent="0.2">
      <c r="A3368" s="1164"/>
      <c r="B3368" s="1164"/>
      <c r="D3368" s="1224"/>
    </row>
    <row r="3369" spans="1:4" x14ac:dyDescent="0.2">
      <c r="A3369" s="1164"/>
      <c r="B3369" s="1164"/>
      <c r="D3369" s="1224"/>
    </row>
    <row r="3370" spans="1:4" x14ac:dyDescent="0.2">
      <c r="A3370" s="1164"/>
      <c r="B3370" s="1164"/>
      <c r="D3370" s="1224"/>
    </row>
    <row r="3371" spans="1:4" x14ac:dyDescent="0.2">
      <c r="A3371" s="1164"/>
      <c r="B3371" s="1164"/>
      <c r="D3371" s="1224"/>
    </row>
    <row r="3372" spans="1:4" x14ac:dyDescent="0.2">
      <c r="A3372" s="1164"/>
      <c r="B3372" s="1164"/>
      <c r="D3372" s="1224"/>
    </row>
    <row r="3373" spans="1:4" x14ac:dyDescent="0.2">
      <c r="A3373" s="1164"/>
      <c r="B3373" s="1164"/>
      <c r="D3373" s="1224"/>
    </row>
    <row r="3374" spans="1:4" x14ac:dyDescent="0.2">
      <c r="A3374" s="1164"/>
      <c r="B3374" s="1164"/>
      <c r="D3374" s="1224"/>
    </row>
    <row r="3375" spans="1:4" x14ac:dyDescent="0.2">
      <c r="A3375" s="1164"/>
      <c r="B3375" s="1164"/>
      <c r="D3375" s="1224"/>
    </row>
    <row r="3376" spans="1:4" x14ac:dyDescent="0.2">
      <c r="A3376" s="1164"/>
      <c r="B3376" s="1164"/>
      <c r="D3376" s="1224"/>
    </row>
    <row r="3377" spans="1:4" x14ac:dyDescent="0.2">
      <c r="A3377" s="1164"/>
      <c r="B3377" s="1164"/>
      <c r="D3377" s="1224"/>
    </row>
    <row r="3378" spans="1:4" x14ac:dyDescent="0.2">
      <c r="A3378" s="1164"/>
      <c r="B3378" s="1164"/>
      <c r="D3378" s="1224"/>
    </row>
    <row r="3379" spans="1:4" x14ac:dyDescent="0.2">
      <c r="A3379" s="1164"/>
      <c r="B3379" s="1164"/>
      <c r="D3379" s="1224"/>
    </row>
    <row r="3380" spans="1:4" x14ac:dyDescent="0.2">
      <c r="A3380" s="1164"/>
      <c r="B3380" s="1164"/>
      <c r="D3380" s="1224"/>
    </row>
    <row r="3381" spans="1:4" x14ac:dyDescent="0.2">
      <c r="A3381" s="1164"/>
      <c r="B3381" s="1164"/>
      <c r="D3381" s="1224"/>
    </row>
    <row r="3382" spans="1:4" x14ac:dyDescent="0.2">
      <c r="A3382" s="1164"/>
      <c r="B3382" s="1164"/>
      <c r="D3382" s="1224"/>
    </row>
    <row r="3383" spans="1:4" x14ac:dyDescent="0.2">
      <c r="A3383" s="1164"/>
      <c r="B3383" s="1164"/>
      <c r="D3383" s="1224"/>
    </row>
    <row r="3384" spans="1:4" x14ac:dyDescent="0.2">
      <c r="A3384" s="1164"/>
      <c r="B3384" s="1164"/>
      <c r="D3384" s="1224"/>
    </row>
    <row r="3385" spans="1:4" x14ac:dyDescent="0.2">
      <c r="A3385" s="1164"/>
      <c r="B3385" s="1164"/>
      <c r="D3385" s="1224"/>
    </row>
    <row r="3386" spans="1:4" x14ac:dyDescent="0.2">
      <c r="A3386" s="1164"/>
      <c r="B3386" s="1164"/>
      <c r="D3386" s="1224"/>
    </row>
    <row r="3387" spans="1:4" x14ac:dyDescent="0.2">
      <c r="A3387" s="1164"/>
      <c r="B3387" s="1164"/>
      <c r="D3387" s="1224"/>
    </row>
    <row r="3388" spans="1:4" x14ac:dyDescent="0.2">
      <c r="A3388" s="1164"/>
      <c r="B3388" s="1164"/>
      <c r="D3388" s="1224"/>
    </row>
    <row r="3389" spans="1:4" x14ac:dyDescent="0.2">
      <c r="A3389" s="1164"/>
      <c r="B3389" s="1164"/>
      <c r="D3389" s="1224"/>
    </row>
    <row r="3390" spans="1:4" x14ac:dyDescent="0.2">
      <c r="A3390" s="1164"/>
      <c r="B3390" s="1164"/>
      <c r="D3390" s="1224"/>
    </row>
    <row r="3391" spans="1:4" x14ac:dyDescent="0.2">
      <c r="A3391" s="1164"/>
      <c r="B3391" s="1164"/>
      <c r="D3391" s="1224"/>
    </row>
    <row r="3392" spans="1:4" x14ac:dyDescent="0.2">
      <c r="A3392" s="1164"/>
      <c r="B3392" s="1164"/>
      <c r="D3392" s="1224"/>
    </row>
    <row r="3393" spans="1:4" x14ac:dyDescent="0.2">
      <c r="A3393" s="1164"/>
      <c r="B3393" s="1164"/>
      <c r="D3393" s="1224"/>
    </row>
    <row r="3394" spans="1:4" x14ac:dyDescent="0.2">
      <c r="A3394" s="1164"/>
      <c r="B3394" s="1164"/>
      <c r="D3394" s="1224"/>
    </row>
    <row r="3395" spans="1:4" x14ac:dyDescent="0.2">
      <c r="A3395" s="1164"/>
      <c r="B3395" s="1164"/>
      <c r="D3395" s="1224"/>
    </row>
    <row r="3396" spans="1:4" x14ac:dyDescent="0.2">
      <c r="A3396" s="1164"/>
      <c r="B3396" s="1164"/>
      <c r="D3396" s="1224"/>
    </row>
    <row r="3397" spans="1:4" x14ac:dyDescent="0.2">
      <c r="A3397" s="1164"/>
      <c r="B3397" s="1164"/>
      <c r="D3397" s="1224"/>
    </row>
    <row r="3398" spans="1:4" x14ac:dyDescent="0.2">
      <c r="A3398" s="1164"/>
      <c r="B3398" s="1164"/>
      <c r="D3398" s="1224"/>
    </row>
    <row r="3399" spans="1:4" x14ac:dyDescent="0.2">
      <c r="A3399" s="1164"/>
      <c r="B3399" s="1164"/>
      <c r="D3399" s="1224"/>
    </row>
    <row r="3400" spans="1:4" x14ac:dyDescent="0.2">
      <c r="A3400" s="1164"/>
      <c r="B3400" s="1164"/>
      <c r="D3400" s="1224"/>
    </row>
    <row r="3401" spans="1:4" x14ac:dyDescent="0.2">
      <c r="A3401" s="1164"/>
      <c r="B3401" s="1164"/>
      <c r="D3401" s="1224"/>
    </row>
    <row r="3402" spans="1:4" x14ac:dyDescent="0.2">
      <c r="A3402" s="1164"/>
      <c r="B3402" s="1164"/>
      <c r="D3402" s="1224"/>
    </row>
    <row r="3403" spans="1:4" x14ac:dyDescent="0.2">
      <c r="A3403" s="1164"/>
      <c r="B3403" s="1164"/>
      <c r="D3403" s="1224"/>
    </row>
    <row r="3404" spans="1:4" x14ac:dyDescent="0.2">
      <c r="A3404" s="1164"/>
      <c r="B3404" s="1164"/>
      <c r="D3404" s="1224"/>
    </row>
    <row r="3405" spans="1:4" x14ac:dyDescent="0.2">
      <c r="A3405" s="1164"/>
      <c r="B3405" s="1164"/>
      <c r="D3405" s="1224"/>
    </row>
    <row r="3406" spans="1:4" x14ac:dyDescent="0.2">
      <c r="A3406" s="1164"/>
      <c r="B3406" s="1164"/>
      <c r="D3406" s="1224"/>
    </row>
    <row r="3407" spans="1:4" x14ac:dyDescent="0.2">
      <c r="A3407" s="1164"/>
      <c r="B3407" s="1164"/>
      <c r="D3407" s="1224"/>
    </row>
    <row r="3408" spans="1:4" x14ac:dyDescent="0.2">
      <c r="A3408" s="1164"/>
      <c r="B3408" s="1164"/>
      <c r="D3408" s="1224"/>
    </row>
    <row r="3409" spans="1:4" x14ac:dyDescent="0.2">
      <c r="A3409" s="1164"/>
      <c r="B3409" s="1164"/>
      <c r="D3409" s="1224"/>
    </row>
    <row r="3410" spans="1:4" x14ac:dyDescent="0.2">
      <c r="A3410" s="1164"/>
      <c r="B3410" s="1164"/>
      <c r="D3410" s="1224"/>
    </row>
    <row r="3411" spans="1:4" x14ac:dyDescent="0.2">
      <c r="A3411" s="1164"/>
      <c r="B3411" s="1164"/>
      <c r="D3411" s="1224"/>
    </row>
    <row r="3412" spans="1:4" x14ac:dyDescent="0.2">
      <c r="A3412" s="1164"/>
      <c r="B3412" s="1164"/>
      <c r="D3412" s="1224"/>
    </row>
    <row r="3413" spans="1:4" x14ac:dyDescent="0.2">
      <c r="A3413" s="1164"/>
      <c r="B3413" s="1164"/>
      <c r="D3413" s="1224"/>
    </row>
    <row r="3414" spans="1:4" x14ac:dyDescent="0.2">
      <c r="A3414" s="1164"/>
      <c r="B3414" s="1164"/>
      <c r="D3414" s="1224"/>
    </row>
    <row r="3415" spans="1:4" x14ac:dyDescent="0.2">
      <c r="A3415" s="1164"/>
      <c r="B3415" s="1164"/>
      <c r="D3415" s="1224"/>
    </row>
    <row r="3416" spans="1:4" x14ac:dyDescent="0.2">
      <c r="A3416" s="1164"/>
      <c r="B3416" s="1164"/>
      <c r="D3416" s="1224"/>
    </row>
    <row r="3417" spans="1:4" x14ac:dyDescent="0.2">
      <c r="A3417" s="1164"/>
      <c r="B3417" s="1164"/>
      <c r="D3417" s="1224"/>
    </row>
    <row r="3418" spans="1:4" x14ac:dyDescent="0.2">
      <c r="A3418" s="1164"/>
      <c r="B3418" s="1164"/>
      <c r="D3418" s="1224"/>
    </row>
    <row r="3419" spans="1:4" x14ac:dyDescent="0.2">
      <c r="A3419" s="1164"/>
      <c r="B3419" s="1164"/>
      <c r="D3419" s="1224"/>
    </row>
    <row r="3420" spans="1:4" x14ac:dyDescent="0.2">
      <c r="A3420" s="1164"/>
      <c r="B3420" s="1164"/>
      <c r="D3420" s="1224"/>
    </row>
    <row r="3421" spans="1:4" x14ac:dyDescent="0.2">
      <c r="A3421" s="1164"/>
      <c r="B3421" s="1164"/>
      <c r="D3421" s="1224"/>
    </row>
    <row r="3422" spans="1:4" x14ac:dyDescent="0.2">
      <c r="A3422" s="1164"/>
      <c r="B3422" s="1164"/>
      <c r="D3422" s="1224"/>
    </row>
    <row r="3423" spans="1:4" x14ac:dyDescent="0.2">
      <c r="A3423" s="1164"/>
      <c r="B3423" s="1164"/>
      <c r="D3423" s="1224"/>
    </row>
    <row r="3424" spans="1:4" x14ac:dyDescent="0.2">
      <c r="A3424" s="1164"/>
      <c r="B3424" s="1164"/>
      <c r="D3424" s="1224"/>
    </row>
    <row r="3425" spans="1:4" x14ac:dyDescent="0.2">
      <c r="A3425" s="1164"/>
      <c r="B3425" s="1164"/>
      <c r="D3425" s="1224"/>
    </row>
    <row r="3426" spans="1:4" x14ac:dyDescent="0.2">
      <c r="A3426" s="1164"/>
      <c r="B3426" s="1164"/>
      <c r="D3426" s="1224"/>
    </row>
    <row r="3427" spans="1:4" x14ac:dyDescent="0.2">
      <c r="A3427" s="1164"/>
      <c r="B3427" s="1164"/>
      <c r="D3427" s="1224"/>
    </row>
    <row r="3428" spans="1:4" x14ac:dyDescent="0.2">
      <c r="A3428" s="1164"/>
      <c r="B3428" s="1164"/>
      <c r="D3428" s="1224"/>
    </row>
    <row r="3429" spans="1:4" x14ac:dyDescent="0.2">
      <c r="A3429" s="1164"/>
      <c r="B3429" s="1164"/>
      <c r="D3429" s="1224"/>
    </row>
    <row r="3430" spans="1:4" x14ac:dyDescent="0.2">
      <c r="A3430" s="1164"/>
      <c r="B3430" s="1164"/>
      <c r="D3430" s="1224"/>
    </row>
    <row r="3431" spans="1:4" x14ac:dyDescent="0.2">
      <c r="A3431" s="1164"/>
      <c r="B3431" s="1164"/>
      <c r="D3431" s="1224"/>
    </row>
    <row r="3432" spans="1:4" x14ac:dyDescent="0.2">
      <c r="A3432" s="1164"/>
      <c r="B3432" s="1164"/>
      <c r="D3432" s="1224"/>
    </row>
    <row r="3433" spans="1:4" x14ac:dyDescent="0.2">
      <c r="A3433" s="1164"/>
      <c r="B3433" s="1164"/>
      <c r="D3433" s="1224"/>
    </row>
    <row r="3434" spans="1:4" x14ac:dyDescent="0.2">
      <c r="A3434" s="1164"/>
      <c r="B3434" s="1164"/>
      <c r="D3434" s="1224"/>
    </row>
    <row r="3435" spans="1:4" x14ac:dyDescent="0.2">
      <c r="A3435" s="1164"/>
      <c r="B3435" s="1164"/>
      <c r="D3435" s="1224"/>
    </row>
    <row r="3436" spans="1:4" x14ac:dyDescent="0.2">
      <c r="A3436" s="1164"/>
      <c r="B3436" s="1164"/>
      <c r="D3436" s="1224"/>
    </row>
    <row r="3437" spans="1:4" x14ac:dyDescent="0.2">
      <c r="A3437" s="1164"/>
      <c r="B3437" s="1164"/>
      <c r="D3437" s="1224"/>
    </row>
    <row r="3438" spans="1:4" x14ac:dyDescent="0.2">
      <c r="A3438" s="1164"/>
      <c r="B3438" s="1164"/>
      <c r="D3438" s="1224"/>
    </row>
    <row r="3439" spans="1:4" x14ac:dyDescent="0.2">
      <c r="A3439" s="1164"/>
      <c r="B3439" s="1164"/>
      <c r="D3439" s="1224"/>
    </row>
    <row r="3440" spans="1:4" x14ac:dyDescent="0.2">
      <c r="A3440" s="1164"/>
      <c r="B3440" s="1164"/>
      <c r="D3440" s="1224"/>
    </row>
    <row r="3441" spans="1:4" x14ac:dyDescent="0.2">
      <c r="A3441" s="1164"/>
      <c r="B3441" s="1164"/>
      <c r="D3441" s="1224"/>
    </row>
    <row r="3442" spans="1:4" x14ac:dyDescent="0.2">
      <c r="A3442" s="1164"/>
      <c r="B3442" s="1164"/>
      <c r="D3442" s="1224"/>
    </row>
    <row r="3443" spans="1:4" x14ac:dyDescent="0.2">
      <c r="A3443" s="1164"/>
      <c r="B3443" s="1164"/>
      <c r="D3443" s="1224"/>
    </row>
    <row r="3444" spans="1:4" x14ac:dyDescent="0.2">
      <c r="A3444" s="1164"/>
      <c r="B3444" s="1164"/>
      <c r="D3444" s="1224"/>
    </row>
    <row r="3445" spans="1:4" x14ac:dyDescent="0.2">
      <c r="A3445" s="1164"/>
      <c r="B3445" s="1164"/>
      <c r="D3445" s="1224"/>
    </row>
    <row r="3446" spans="1:4" x14ac:dyDescent="0.2">
      <c r="A3446" s="1164"/>
      <c r="B3446" s="1164"/>
      <c r="D3446" s="1224"/>
    </row>
    <row r="3447" spans="1:4" x14ac:dyDescent="0.2">
      <c r="A3447" s="1164"/>
      <c r="B3447" s="1164"/>
      <c r="D3447" s="1224"/>
    </row>
    <row r="3448" spans="1:4" x14ac:dyDescent="0.2">
      <c r="A3448" s="1164"/>
      <c r="B3448" s="1164"/>
      <c r="D3448" s="1224"/>
    </row>
    <row r="3449" spans="1:4" x14ac:dyDescent="0.2">
      <c r="A3449" s="1164"/>
      <c r="B3449" s="1164"/>
      <c r="D3449" s="1224"/>
    </row>
    <row r="3450" spans="1:4" x14ac:dyDescent="0.2">
      <c r="A3450" s="1164"/>
      <c r="B3450" s="1164"/>
      <c r="D3450" s="1224"/>
    </row>
    <row r="3451" spans="1:4" x14ac:dyDescent="0.2">
      <c r="A3451" s="1164"/>
      <c r="B3451" s="1164"/>
      <c r="D3451" s="1224"/>
    </row>
    <row r="3452" spans="1:4" x14ac:dyDescent="0.2">
      <c r="A3452" s="1164"/>
      <c r="B3452" s="1164"/>
      <c r="D3452" s="1224"/>
    </row>
    <row r="3453" spans="1:4" x14ac:dyDescent="0.2">
      <c r="A3453" s="1164"/>
      <c r="B3453" s="1164"/>
      <c r="D3453" s="1224"/>
    </row>
    <row r="3454" spans="1:4" x14ac:dyDescent="0.2">
      <c r="A3454" s="1164"/>
      <c r="B3454" s="1164"/>
      <c r="D3454" s="1224"/>
    </row>
    <row r="3455" spans="1:4" x14ac:dyDescent="0.2">
      <c r="A3455" s="1164"/>
      <c r="B3455" s="1164"/>
      <c r="D3455" s="1224"/>
    </row>
    <row r="3456" spans="1:4" x14ac:dyDescent="0.2">
      <c r="A3456" s="1164"/>
      <c r="B3456" s="1164"/>
      <c r="D3456" s="1224"/>
    </row>
    <row r="3457" spans="1:4" x14ac:dyDescent="0.2">
      <c r="A3457" s="1164"/>
      <c r="B3457" s="1164"/>
      <c r="D3457" s="1224"/>
    </row>
    <row r="3458" spans="1:4" x14ac:dyDescent="0.2">
      <c r="A3458" s="1164"/>
      <c r="B3458" s="1164"/>
      <c r="D3458" s="1224"/>
    </row>
    <row r="3459" spans="1:4" x14ac:dyDescent="0.2">
      <c r="A3459" s="1164"/>
      <c r="B3459" s="1164"/>
      <c r="D3459" s="1224"/>
    </row>
    <row r="3460" spans="1:4" x14ac:dyDescent="0.2">
      <c r="A3460" s="1164"/>
      <c r="B3460" s="1164"/>
      <c r="D3460" s="1224"/>
    </row>
    <row r="3461" spans="1:4" x14ac:dyDescent="0.2">
      <c r="A3461" s="1164"/>
      <c r="B3461" s="1164"/>
      <c r="D3461" s="1224"/>
    </row>
    <row r="3462" spans="1:4" x14ac:dyDescent="0.2">
      <c r="A3462" s="1164"/>
      <c r="B3462" s="1164"/>
      <c r="D3462" s="1224"/>
    </row>
    <row r="3463" spans="1:4" x14ac:dyDescent="0.2">
      <c r="A3463" s="1164"/>
      <c r="B3463" s="1164"/>
      <c r="D3463" s="1224"/>
    </row>
    <row r="3464" spans="1:4" x14ac:dyDescent="0.2">
      <c r="A3464" s="1164"/>
      <c r="B3464" s="1164"/>
      <c r="D3464" s="1224"/>
    </row>
    <row r="3465" spans="1:4" x14ac:dyDescent="0.2">
      <c r="A3465" s="1164"/>
      <c r="B3465" s="1164"/>
      <c r="D3465" s="1224"/>
    </row>
    <row r="3466" spans="1:4" x14ac:dyDescent="0.2">
      <c r="A3466" s="1164"/>
      <c r="B3466" s="1164"/>
      <c r="D3466" s="1224"/>
    </row>
    <row r="3467" spans="1:4" x14ac:dyDescent="0.2">
      <c r="A3467" s="1164"/>
      <c r="B3467" s="1164"/>
      <c r="D3467" s="1224"/>
    </row>
    <row r="3468" spans="1:4" x14ac:dyDescent="0.2">
      <c r="A3468" s="1164"/>
      <c r="B3468" s="1164"/>
      <c r="D3468" s="1224"/>
    </row>
    <row r="3469" spans="1:4" x14ac:dyDescent="0.2">
      <c r="A3469" s="1164"/>
      <c r="B3469" s="1164"/>
      <c r="D3469" s="1224"/>
    </row>
    <row r="3470" spans="1:4" x14ac:dyDescent="0.2">
      <c r="A3470" s="1164"/>
      <c r="B3470" s="1164"/>
      <c r="D3470" s="1224"/>
    </row>
    <row r="3471" spans="1:4" x14ac:dyDescent="0.2">
      <c r="A3471" s="1164"/>
      <c r="B3471" s="1164"/>
      <c r="D3471" s="1224"/>
    </row>
    <row r="3472" spans="1:4" x14ac:dyDescent="0.2">
      <c r="A3472" s="1164"/>
      <c r="B3472" s="1164"/>
      <c r="D3472" s="1224"/>
    </row>
    <row r="3473" spans="1:4" x14ac:dyDescent="0.2">
      <c r="A3473" s="1164"/>
      <c r="B3473" s="1164"/>
      <c r="D3473" s="1224"/>
    </row>
    <row r="3474" spans="1:4" x14ac:dyDescent="0.2">
      <c r="A3474" s="1164"/>
      <c r="B3474" s="1164"/>
      <c r="D3474" s="1224"/>
    </row>
    <row r="3475" spans="1:4" x14ac:dyDescent="0.2">
      <c r="A3475" s="1164"/>
      <c r="B3475" s="1164"/>
      <c r="D3475" s="1224"/>
    </row>
    <row r="3476" spans="1:4" x14ac:dyDescent="0.2">
      <c r="A3476" s="1164"/>
      <c r="B3476" s="1164"/>
      <c r="D3476" s="1224"/>
    </row>
    <row r="3477" spans="1:4" x14ac:dyDescent="0.2">
      <c r="A3477" s="1164"/>
      <c r="B3477" s="1164"/>
      <c r="D3477" s="1224"/>
    </row>
    <row r="3478" spans="1:4" x14ac:dyDescent="0.2">
      <c r="A3478" s="1164"/>
      <c r="B3478" s="1164"/>
      <c r="D3478" s="1224"/>
    </row>
    <row r="3479" spans="1:4" x14ac:dyDescent="0.2">
      <c r="A3479" s="1164"/>
      <c r="B3479" s="1164"/>
      <c r="D3479" s="1224"/>
    </row>
    <row r="3480" spans="1:4" x14ac:dyDescent="0.2">
      <c r="A3480" s="1164"/>
      <c r="B3480" s="1164"/>
      <c r="D3480" s="1224"/>
    </row>
    <row r="3481" spans="1:4" x14ac:dyDescent="0.2">
      <c r="A3481" s="1164"/>
      <c r="B3481" s="1164"/>
      <c r="D3481" s="1224"/>
    </row>
    <row r="3482" spans="1:4" x14ac:dyDescent="0.2">
      <c r="A3482" s="1164"/>
      <c r="B3482" s="1164"/>
      <c r="D3482" s="1224"/>
    </row>
    <row r="3483" spans="1:4" x14ac:dyDescent="0.2">
      <c r="A3483" s="1164"/>
      <c r="B3483" s="1164"/>
      <c r="D3483" s="1224"/>
    </row>
    <row r="3484" spans="1:4" x14ac:dyDescent="0.2">
      <c r="A3484" s="1164"/>
      <c r="B3484" s="1164"/>
      <c r="D3484" s="1224"/>
    </row>
    <row r="3485" spans="1:4" x14ac:dyDescent="0.2">
      <c r="A3485" s="1164"/>
      <c r="B3485" s="1164"/>
      <c r="D3485" s="1224"/>
    </row>
    <row r="3486" spans="1:4" x14ac:dyDescent="0.2">
      <c r="A3486" s="1164"/>
      <c r="B3486" s="1164"/>
      <c r="D3486" s="1224"/>
    </row>
    <row r="3487" spans="1:4" x14ac:dyDescent="0.2">
      <c r="A3487" s="1164"/>
      <c r="B3487" s="1164"/>
      <c r="D3487" s="1224"/>
    </row>
    <row r="3488" spans="1:4" x14ac:dyDescent="0.2">
      <c r="A3488" s="1164"/>
      <c r="B3488" s="1164"/>
      <c r="D3488" s="1224"/>
    </row>
    <row r="3489" spans="1:4" x14ac:dyDescent="0.2">
      <c r="A3489" s="1164"/>
      <c r="B3489" s="1164"/>
      <c r="D3489" s="1224"/>
    </row>
    <row r="3490" spans="1:4" x14ac:dyDescent="0.2">
      <c r="A3490" s="1164"/>
      <c r="B3490" s="1164"/>
      <c r="D3490" s="1224"/>
    </row>
    <row r="3491" spans="1:4" x14ac:dyDescent="0.2">
      <c r="A3491" s="1164"/>
      <c r="B3491" s="1164"/>
      <c r="D3491" s="1224"/>
    </row>
    <row r="3492" spans="1:4" x14ac:dyDescent="0.2">
      <c r="A3492" s="1164"/>
      <c r="B3492" s="1164"/>
      <c r="D3492" s="1224"/>
    </row>
    <row r="3493" spans="1:4" x14ac:dyDescent="0.2">
      <c r="A3493" s="1164"/>
      <c r="B3493" s="1164"/>
      <c r="D3493" s="1224"/>
    </row>
    <row r="3494" spans="1:4" x14ac:dyDescent="0.2">
      <c r="A3494" s="1164"/>
      <c r="B3494" s="1164"/>
      <c r="D3494" s="1224"/>
    </row>
    <row r="3495" spans="1:4" x14ac:dyDescent="0.2">
      <c r="A3495" s="1164"/>
      <c r="B3495" s="1164"/>
      <c r="D3495" s="1224"/>
    </row>
    <row r="3496" spans="1:4" x14ac:dyDescent="0.2">
      <c r="A3496" s="1164"/>
      <c r="B3496" s="1164"/>
      <c r="D3496" s="1224"/>
    </row>
    <row r="3497" spans="1:4" x14ac:dyDescent="0.2">
      <c r="A3497" s="1164"/>
      <c r="B3497" s="1164"/>
      <c r="D3497" s="1224"/>
    </row>
    <row r="3498" spans="1:4" x14ac:dyDescent="0.2">
      <c r="A3498" s="1164"/>
      <c r="B3498" s="1164"/>
      <c r="D3498" s="1224"/>
    </row>
    <row r="3499" spans="1:4" x14ac:dyDescent="0.2">
      <c r="A3499" s="1164"/>
      <c r="B3499" s="1164"/>
      <c r="D3499" s="1224"/>
    </row>
    <row r="3500" spans="1:4" x14ac:dyDescent="0.2">
      <c r="A3500" s="1164"/>
      <c r="B3500" s="1164"/>
      <c r="D3500" s="1224"/>
    </row>
    <row r="3501" spans="1:4" x14ac:dyDescent="0.2">
      <c r="A3501" s="1164"/>
      <c r="B3501" s="1164"/>
      <c r="D3501" s="1224"/>
    </row>
    <row r="3502" spans="1:4" x14ac:dyDescent="0.2">
      <c r="A3502" s="1164"/>
      <c r="B3502" s="1164"/>
      <c r="D3502" s="1224"/>
    </row>
    <row r="3503" spans="1:4" x14ac:dyDescent="0.2">
      <c r="A3503" s="1164"/>
      <c r="B3503" s="1164"/>
      <c r="D3503" s="1224"/>
    </row>
    <row r="3504" spans="1:4" x14ac:dyDescent="0.2">
      <c r="A3504" s="1164"/>
      <c r="B3504" s="1164"/>
      <c r="D3504" s="1224"/>
    </row>
    <row r="3505" spans="1:4" x14ac:dyDescent="0.2">
      <c r="A3505" s="1164"/>
      <c r="B3505" s="1164"/>
      <c r="D3505" s="1224"/>
    </row>
    <row r="3506" spans="1:4" x14ac:dyDescent="0.2">
      <c r="A3506" s="1164"/>
      <c r="B3506" s="1164"/>
      <c r="D3506" s="1224"/>
    </row>
    <row r="3507" spans="1:4" x14ac:dyDescent="0.2">
      <c r="A3507" s="1164"/>
      <c r="B3507" s="1164"/>
      <c r="D3507" s="1224"/>
    </row>
    <row r="3508" spans="1:4" x14ac:dyDescent="0.2">
      <c r="A3508" s="1164"/>
      <c r="B3508" s="1164"/>
      <c r="D3508" s="1224"/>
    </row>
    <row r="3509" spans="1:4" x14ac:dyDescent="0.2">
      <c r="A3509" s="1164"/>
      <c r="B3509" s="1164"/>
      <c r="D3509" s="1224"/>
    </row>
    <row r="3510" spans="1:4" x14ac:dyDescent="0.2">
      <c r="A3510" s="1164"/>
      <c r="B3510" s="1164"/>
      <c r="D3510" s="1224"/>
    </row>
    <row r="3511" spans="1:4" x14ac:dyDescent="0.2">
      <c r="A3511" s="1164"/>
      <c r="B3511" s="1164"/>
      <c r="D3511" s="1224"/>
    </row>
    <row r="3512" spans="1:4" x14ac:dyDescent="0.2">
      <c r="A3512" s="1164"/>
      <c r="B3512" s="1164"/>
      <c r="D3512" s="1224"/>
    </row>
    <row r="3513" spans="1:4" x14ac:dyDescent="0.2">
      <c r="A3513" s="1164"/>
      <c r="B3513" s="1164"/>
      <c r="D3513" s="1224"/>
    </row>
    <row r="3514" spans="1:4" x14ac:dyDescent="0.2">
      <c r="A3514" s="1164"/>
      <c r="B3514" s="1164"/>
      <c r="D3514" s="1224"/>
    </row>
    <row r="3515" spans="1:4" x14ac:dyDescent="0.2">
      <c r="A3515" s="1164"/>
      <c r="B3515" s="1164"/>
      <c r="D3515" s="1224"/>
    </row>
    <row r="3516" spans="1:4" x14ac:dyDescent="0.2">
      <c r="A3516" s="1164"/>
      <c r="B3516" s="1164"/>
      <c r="D3516" s="1224"/>
    </row>
    <row r="3517" spans="1:4" x14ac:dyDescent="0.2">
      <c r="A3517" s="1164"/>
      <c r="B3517" s="1164"/>
      <c r="D3517" s="1224"/>
    </row>
    <row r="3518" spans="1:4" x14ac:dyDescent="0.2">
      <c r="A3518" s="1164"/>
      <c r="B3518" s="1164"/>
      <c r="D3518" s="1224"/>
    </row>
    <row r="3519" spans="1:4" x14ac:dyDescent="0.2">
      <c r="A3519" s="1164"/>
      <c r="B3519" s="1164"/>
      <c r="D3519" s="1224"/>
    </row>
    <row r="3520" spans="1:4" x14ac:dyDescent="0.2">
      <c r="A3520" s="1164"/>
      <c r="B3520" s="1164"/>
      <c r="D3520" s="1224"/>
    </row>
    <row r="3521" spans="1:4" x14ac:dyDescent="0.2">
      <c r="A3521" s="1164"/>
      <c r="B3521" s="1164"/>
      <c r="D3521" s="1224"/>
    </row>
    <row r="3522" spans="1:4" x14ac:dyDescent="0.2">
      <c r="A3522" s="1164"/>
      <c r="B3522" s="1164"/>
      <c r="D3522" s="1224"/>
    </row>
    <row r="3523" spans="1:4" x14ac:dyDescent="0.2">
      <c r="A3523" s="1164"/>
      <c r="B3523" s="1164"/>
      <c r="D3523" s="1224"/>
    </row>
    <row r="3524" spans="1:4" x14ac:dyDescent="0.2">
      <c r="A3524" s="1164"/>
      <c r="B3524" s="1164"/>
      <c r="D3524" s="1224"/>
    </row>
    <row r="3525" spans="1:4" x14ac:dyDescent="0.2">
      <c r="A3525" s="1164"/>
      <c r="B3525" s="1164"/>
      <c r="D3525" s="1224"/>
    </row>
    <row r="3526" spans="1:4" x14ac:dyDescent="0.2">
      <c r="A3526" s="1164"/>
      <c r="B3526" s="1164"/>
      <c r="D3526" s="1224"/>
    </row>
    <row r="3527" spans="1:4" x14ac:dyDescent="0.2">
      <c r="A3527" s="1164"/>
      <c r="B3527" s="1164"/>
      <c r="D3527" s="1224"/>
    </row>
    <row r="3528" spans="1:4" x14ac:dyDescent="0.2">
      <c r="A3528" s="1164"/>
      <c r="B3528" s="1164"/>
      <c r="D3528" s="1224"/>
    </row>
    <row r="3529" spans="1:4" x14ac:dyDescent="0.2">
      <c r="A3529" s="1164"/>
      <c r="B3529" s="1164"/>
      <c r="D3529" s="1224"/>
    </row>
    <row r="3530" spans="1:4" x14ac:dyDescent="0.2">
      <c r="A3530" s="1164"/>
      <c r="B3530" s="1164"/>
      <c r="D3530" s="1224"/>
    </row>
    <row r="3531" spans="1:4" x14ac:dyDescent="0.2">
      <c r="A3531" s="1164"/>
      <c r="B3531" s="1164"/>
      <c r="D3531" s="1224"/>
    </row>
    <row r="3532" spans="1:4" x14ac:dyDescent="0.2">
      <c r="A3532" s="1164"/>
      <c r="B3532" s="1164"/>
      <c r="D3532" s="1224"/>
    </row>
    <row r="3533" spans="1:4" x14ac:dyDescent="0.2">
      <c r="A3533" s="1164"/>
      <c r="B3533" s="1164"/>
      <c r="D3533" s="1224"/>
    </row>
    <row r="3534" spans="1:4" x14ac:dyDescent="0.2">
      <c r="A3534" s="1164"/>
      <c r="B3534" s="1164"/>
      <c r="D3534" s="1224"/>
    </row>
    <row r="3535" spans="1:4" x14ac:dyDescent="0.2">
      <c r="A3535" s="1164"/>
      <c r="B3535" s="1164"/>
      <c r="D3535" s="1224"/>
    </row>
    <row r="3536" spans="1:4" x14ac:dyDescent="0.2">
      <c r="A3536" s="1164"/>
      <c r="B3536" s="1164"/>
      <c r="D3536" s="1224"/>
    </row>
    <row r="3537" spans="1:4" x14ac:dyDescent="0.2">
      <c r="A3537" s="1164"/>
      <c r="B3537" s="1164"/>
      <c r="D3537" s="1224"/>
    </row>
    <row r="3538" spans="1:4" x14ac:dyDescent="0.2">
      <c r="A3538" s="1164"/>
      <c r="B3538" s="1164"/>
      <c r="D3538" s="1224"/>
    </row>
    <row r="3539" spans="1:4" x14ac:dyDescent="0.2">
      <c r="A3539" s="1164"/>
      <c r="B3539" s="1164"/>
      <c r="D3539" s="1224"/>
    </row>
    <row r="3540" spans="1:4" x14ac:dyDescent="0.2">
      <c r="A3540" s="1164"/>
      <c r="B3540" s="1164"/>
      <c r="D3540" s="1224"/>
    </row>
    <row r="3541" spans="1:4" x14ac:dyDescent="0.2">
      <c r="A3541" s="1164"/>
      <c r="B3541" s="1164"/>
      <c r="D3541" s="1224"/>
    </row>
    <row r="3542" spans="1:4" x14ac:dyDescent="0.2">
      <c r="A3542" s="1164"/>
      <c r="B3542" s="1164"/>
      <c r="D3542" s="1224"/>
    </row>
    <row r="3543" spans="1:4" x14ac:dyDescent="0.2">
      <c r="A3543" s="1164"/>
      <c r="B3543" s="1164"/>
      <c r="D3543" s="1224"/>
    </row>
    <row r="3544" spans="1:4" x14ac:dyDescent="0.2">
      <c r="A3544" s="1164"/>
      <c r="B3544" s="1164"/>
      <c r="D3544" s="1224"/>
    </row>
    <row r="3545" spans="1:4" x14ac:dyDescent="0.2">
      <c r="A3545" s="1164"/>
      <c r="B3545" s="1164"/>
      <c r="D3545" s="1224"/>
    </row>
    <row r="3546" spans="1:4" x14ac:dyDescent="0.2">
      <c r="A3546" s="1164"/>
      <c r="B3546" s="1164"/>
      <c r="D3546" s="1224"/>
    </row>
    <row r="3547" spans="1:4" x14ac:dyDescent="0.2">
      <c r="A3547" s="1164"/>
      <c r="B3547" s="1164"/>
      <c r="D3547" s="1224"/>
    </row>
    <row r="3548" spans="1:4" x14ac:dyDescent="0.2">
      <c r="A3548" s="1164"/>
      <c r="B3548" s="1164"/>
      <c r="D3548" s="1224"/>
    </row>
    <row r="3549" spans="1:4" x14ac:dyDescent="0.2">
      <c r="A3549" s="1164"/>
      <c r="B3549" s="1164"/>
      <c r="D3549" s="1224"/>
    </row>
    <row r="3550" spans="1:4" x14ac:dyDescent="0.2">
      <c r="A3550" s="1164"/>
      <c r="B3550" s="1164"/>
      <c r="D3550" s="1224"/>
    </row>
    <row r="3551" spans="1:4" x14ac:dyDescent="0.2">
      <c r="A3551" s="1164"/>
      <c r="B3551" s="1164"/>
      <c r="D3551" s="1224"/>
    </row>
    <row r="3552" spans="1:4" x14ac:dyDescent="0.2">
      <c r="A3552" s="1164"/>
      <c r="B3552" s="1164"/>
      <c r="D3552" s="1224"/>
    </row>
    <row r="3553" spans="1:4" x14ac:dyDescent="0.2">
      <c r="A3553" s="1164"/>
      <c r="B3553" s="1164"/>
      <c r="D3553" s="1224"/>
    </row>
    <row r="3554" spans="1:4" x14ac:dyDescent="0.2">
      <c r="A3554" s="1164"/>
      <c r="B3554" s="1164"/>
      <c r="D3554" s="1224"/>
    </row>
    <row r="3555" spans="1:4" x14ac:dyDescent="0.2">
      <c r="A3555" s="1164"/>
      <c r="B3555" s="1164"/>
      <c r="D3555" s="1224"/>
    </row>
    <row r="3556" spans="1:4" x14ac:dyDescent="0.2">
      <c r="A3556" s="1164"/>
      <c r="B3556" s="1164"/>
      <c r="D3556" s="1224"/>
    </row>
    <row r="3557" spans="1:4" x14ac:dyDescent="0.2">
      <c r="A3557" s="1164"/>
      <c r="B3557" s="1164"/>
      <c r="D3557" s="1224"/>
    </row>
    <row r="3558" spans="1:4" x14ac:dyDescent="0.2">
      <c r="A3558" s="1164"/>
      <c r="B3558" s="1164"/>
      <c r="D3558" s="1224"/>
    </row>
    <row r="3559" spans="1:4" x14ac:dyDescent="0.2">
      <c r="A3559" s="1164"/>
      <c r="B3559" s="1164"/>
      <c r="D3559" s="1224"/>
    </row>
    <row r="3560" spans="1:4" x14ac:dyDescent="0.2">
      <c r="A3560" s="1164"/>
      <c r="B3560" s="1164"/>
      <c r="D3560" s="1224"/>
    </row>
    <row r="3561" spans="1:4" x14ac:dyDescent="0.2">
      <c r="A3561" s="1164"/>
      <c r="B3561" s="1164"/>
      <c r="D3561" s="1224"/>
    </row>
    <row r="3562" spans="1:4" x14ac:dyDescent="0.2">
      <c r="A3562" s="1164"/>
      <c r="B3562" s="1164"/>
      <c r="D3562" s="1224"/>
    </row>
    <row r="3563" spans="1:4" x14ac:dyDescent="0.2">
      <c r="A3563" s="1164"/>
      <c r="B3563" s="1164"/>
      <c r="D3563" s="1224"/>
    </row>
    <row r="3564" spans="1:4" x14ac:dyDescent="0.2">
      <c r="A3564" s="1164"/>
      <c r="B3564" s="1164"/>
      <c r="D3564" s="1224"/>
    </row>
    <row r="3565" spans="1:4" x14ac:dyDescent="0.2">
      <c r="A3565" s="1164"/>
      <c r="B3565" s="1164"/>
      <c r="D3565" s="1224"/>
    </row>
    <row r="3566" spans="1:4" x14ac:dyDescent="0.2">
      <c r="A3566" s="1164"/>
      <c r="B3566" s="1164"/>
      <c r="D3566" s="1224"/>
    </row>
    <row r="3567" spans="1:4" x14ac:dyDescent="0.2">
      <c r="A3567" s="1164"/>
      <c r="B3567" s="1164"/>
      <c r="D3567" s="1224"/>
    </row>
    <row r="3568" spans="1:4" x14ac:dyDescent="0.2">
      <c r="A3568" s="1164"/>
      <c r="B3568" s="1164"/>
      <c r="D3568" s="1224"/>
    </row>
    <row r="3569" spans="1:4" x14ac:dyDescent="0.2">
      <c r="A3569" s="1164"/>
      <c r="B3569" s="1164"/>
      <c r="D3569" s="1224"/>
    </row>
    <row r="3570" spans="1:4" x14ac:dyDescent="0.2">
      <c r="A3570" s="1164"/>
      <c r="B3570" s="1164"/>
      <c r="D3570" s="1224"/>
    </row>
    <row r="3571" spans="1:4" x14ac:dyDescent="0.2">
      <c r="A3571" s="1164"/>
      <c r="B3571" s="1164"/>
      <c r="D3571" s="1224"/>
    </row>
    <row r="3572" spans="1:4" x14ac:dyDescent="0.2">
      <c r="A3572" s="1164"/>
      <c r="B3572" s="1164"/>
      <c r="D3572" s="1224"/>
    </row>
    <row r="3573" spans="1:4" x14ac:dyDescent="0.2">
      <c r="A3573" s="1164"/>
      <c r="B3573" s="1164"/>
      <c r="D3573" s="1224"/>
    </row>
    <row r="3574" spans="1:4" x14ac:dyDescent="0.2">
      <c r="A3574" s="1164"/>
      <c r="B3574" s="1164"/>
      <c r="D3574" s="1224"/>
    </row>
    <row r="3575" spans="1:4" x14ac:dyDescent="0.2">
      <c r="A3575" s="1164"/>
      <c r="B3575" s="1164"/>
      <c r="D3575" s="1224"/>
    </row>
    <row r="3576" spans="1:4" x14ac:dyDescent="0.2">
      <c r="A3576" s="1164"/>
      <c r="B3576" s="1164"/>
      <c r="D3576" s="1224"/>
    </row>
    <row r="3577" spans="1:4" x14ac:dyDescent="0.2">
      <c r="A3577" s="1164"/>
      <c r="B3577" s="1164"/>
      <c r="D3577" s="1224"/>
    </row>
    <row r="3578" spans="1:4" x14ac:dyDescent="0.2">
      <c r="A3578" s="1164"/>
      <c r="B3578" s="1164"/>
      <c r="D3578" s="1224"/>
    </row>
    <row r="3579" spans="1:4" x14ac:dyDescent="0.2">
      <c r="A3579" s="1164"/>
      <c r="B3579" s="1164"/>
      <c r="D3579" s="1224"/>
    </row>
    <row r="3580" spans="1:4" x14ac:dyDescent="0.2">
      <c r="A3580" s="1164"/>
      <c r="B3580" s="1164"/>
      <c r="D3580" s="1224"/>
    </row>
    <row r="3581" spans="1:4" x14ac:dyDescent="0.2">
      <c r="A3581" s="1164"/>
      <c r="B3581" s="1164"/>
      <c r="D3581" s="1224"/>
    </row>
    <row r="3582" spans="1:4" x14ac:dyDescent="0.2">
      <c r="A3582" s="1164"/>
      <c r="B3582" s="1164"/>
      <c r="D3582" s="1224"/>
    </row>
    <row r="3583" spans="1:4" x14ac:dyDescent="0.2">
      <c r="A3583" s="1164"/>
      <c r="B3583" s="1164"/>
      <c r="D3583" s="1224"/>
    </row>
    <row r="3584" spans="1:4" x14ac:dyDescent="0.2">
      <c r="A3584" s="1164"/>
      <c r="B3584" s="1164"/>
      <c r="D3584" s="1224"/>
    </row>
    <row r="3585" spans="1:4" x14ac:dyDescent="0.2">
      <c r="A3585" s="1164"/>
      <c r="B3585" s="1164"/>
      <c r="D3585" s="1224"/>
    </row>
    <row r="3586" spans="1:4" x14ac:dyDescent="0.2">
      <c r="A3586" s="1164"/>
      <c r="B3586" s="1164"/>
      <c r="D3586" s="1224"/>
    </row>
    <row r="3587" spans="1:4" x14ac:dyDescent="0.2">
      <c r="A3587" s="1164"/>
      <c r="B3587" s="1164"/>
      <c r="D3587" s="1224"/>
    </row>
    <row r="3588" spans="1:4" x14ac:dyDescent="0.2">
      <c r="A3588" s="1164"/>
      <c r="B3588" s="1164"/>
      <c r="D3588" s="1224"/>
    </row>
    <row r="3589" spans="1:4" x14ac:dyDescent="0.2">
      <c r="A3589" s="1164"/>
      <c r="B3589" s="1164"/>
      <c r="D3589" s="1224"/>
    </row>
    <row r="3590" spans="1:4" x14ac:dyDescent="0.2">
      <c r="A3590" s="1164"/>
      <c r="B3590" s="1164"/>
      <c r="D3590" s="1224"/>
    </row>
    <row r="3591" spans="1:4" x14ac:dyDescent="0.2">
      <c r="A3591" s="1164"/>
      <c r="B3591" s="1164"/>
      <c r="D3591" s="1224"/>
    </row>
    <row r="3592" spans="1:4" x14ac:dyDescent="0.2">
      <c r="A3592" s="1164"/>
      <c r="B3592" s="1164"/>
      <c r="D3592" s="1224"/>
    </row>
    <row r="3593" spans="1:4" x14ac:dyDescent="0.2">
      <c r="A3593" s="1164"/>
      <c r="B3593" s="1164"/>
      <c r="D3593" s="1224"/>
    </row>
    <row r="3594" spans="1:4" x14ac:dyDescent="0.2">
      <c r="A3594" s="1164"/>
      <c r="B3594" s="1164"/>
      <c r="D3594" s="1224"/>
    </row>
    <row r="3595" spans="1:4" x14ac:dyDescent="0.2">
      <c r="A3595" s="1164"/>
      <c r="B3595" s="1164"/>
      <c r="D3595" s="1224"/>
    </row>
    <row r="3596" spans="1:4" x14ac:dyDescent="0.2">
      <c r="A3596" s="1164"/>
      <c r="B3596" s="1164"/>
      <c r="D3596" s="1224"/>
    </row>
    <row r="3597" spans="1:4" x14ac:dyDescent="0.2">
      <c r="A3597" s="1164"/>
      <c r="B3597" s="1164"/>
      <c r="D3597" s="1224"/>
    </row>
    <row r="3598" spans="1:4" x14ac:dyDescent="0.2">
      <c r="A3598" s="1164"/>
      <c r="B3598" s="1164"/>
      <c r="D3598" s="1224"/>
    </row>
    <row r="3599" spans="1:4" x14ac:dyDescent="0.2">
      <c r="A3599" s="1164"/>
      <c r="B3599" s="1164"/>
      <c r="D3599" s="1224"/>
    </row>
    <row r="3600" spans="1:4" x14ac:dyDescent="0.2">
      <c r="A3600" s="1164"/>
      <c r="B3600" s="1164"/>
      <c r="D3600" s="1224"/>
    </row>
    <row r="3601" spans="1:4" x14ac:dyDescent="0.2">
      <c r="A3601" s="1164"/>
      <c r="B3601" s="1164"/>
      <c r="D3601" s="1224"/>
    </row>
    <row r="3602" spans="1:4" x14ac:dyDescent="0.2">
      <c r="A3602" s="1164"/>
      <c r="B3602" s="1164"/>
      <c r="D3602" s="1224"/>
    </row>
    <row r="3603" spans="1:4" x14ac:dyDescent="0.2">
      <c r="A3603" s="1164"/>
      <c r="B3603" s="1164"/>
      <c r="D3603" s="1224"/>
    </row>
    <row r="3604" spans="1:4" x14ac:dyDescent="0.2">
      <c r="A3604" s="1164"/>
      <c r="B3604" s="1164"/>
      <c r="D3604" s="1224"/>
    </row>
    <row r="3605" spans="1:4" x14ac:dyDescent="0.2">
      <c r="A3605" s="1164"/>
      <c r="B3605" s="1164"/>
      <c r="D3605" s="1224"/>
    </row>
    <row r="3606" spans="1:4" x14ac:dyDescent="0.2">
      <c r="A3606" s="1164"/>
      <c r="B3606" s="1164"/>
      <c r="D3606" s="1224"/>
    </row>
    <row r="3607" spans="1:4" x14ac:dyDescent="0.2">
      <c r="A3607" s="1164"/>
      <c r="B3607" s="1164"/>
      <c r="D3607" s="1224"/>
    </row>
    <row r="3608" spans="1:4" x14ac:dyDescent="0.2">
      <c r="A3608" s="1164"/>
      <c r="B3608" s="1164"/>
      <c r="D3608" s="1224"/>
    </row>
    <row r="3609" spans="1:4" x14ac:dyDescent="0.2">
      <c r="A3609" s="1164"/>
      <c r="B3609" s="1164"/>
      <c r="D3609" s="1224"/>
    </row>
    <row r="3610" spans="1:4" x14ac:dyDescent="0.2">
      <c r="A3610" s="1164"/>
      <c r="B3610" s="1164"/>
      <c r="D3610" s="1224"/>
    </row>
    <row r="3611" spans="1:4" x14ac:dyDescent="0.2">
      <c r="A3611" s="1164"/>
      <c r="B3611" s="1164"/>
      <c r="D3611" s="1224"/>
    </row>
    <row r="3612" spans="1:4" x14ac:dyDescent="0.2">
      <c r="A3612" s="1164"/>
      <c r="B3612" s="1164"/>
      <c r="D3612" s="1224"/>
    </row>
    <row r="3613" spans="1:4" x14ac:dyDescent="0.2">
      <c r="A3613" s="1164"/>
      <c r="B3613" s="1164"/>
      <c r="D3613" s="1224"/>
    </row>
    <row r="3614" spans="1:4" x14ac:dyDescent="0.2">
      <c r="A3614" s="1164"/>
      <c r="B3614" s="1164"/>
      <c r="D3614" s="1224"/>
    </row>
    <row r="3615" spans="1:4" x14ac:dyDescent="0.2">
      <c r="A3615" s="1164"/>
      <c r="B3615" s="1164"/>
      <c r="D3615" s="1224"/>
    </row>
    <row r="3616" spans="1:4" x14ac:dyDescent="0.2">
      <c r="A3616" s="1164"/>
      <c r="B3616" s="1164"/>
      <c r="D3616" s="1224"/>
    </row>
    <row r="3617" spans="1:4" x14ac:dyDescent="0.2">
      <c r="A3617" s="1164"/>
      <c r="B3617" s="1164"/>
      <c r="D3617" s="1224"/>
    </row>
    <row r="3618" spans="1:4" x14ac:dyDescent="0.2">
      <c r="A3618" s="1164"/>
      <c r="B3618" s="1164"/>
      <c r="D3618" s="1224"/>
    </row>
    <row r="3619" spans="1:4" x14ac:dyDescent="0.2">
      <c r="A3619" s="1164"/>
      <c r="B3619" s="1164"/>
      <c r="D3619" s="1224"/>
    </row>
    <row r="3620" spans="1:4" x14ac:dyDescent="0.2">
      <c r="A3620" s="1164"/>
      <c r="B3620" s="1164"/>
      <c r="D3620" s="1224"/>
    </row>
    <row r="3621" spans="1:4" x14ac:dyDescent="0.2">
      <c r="A3621" s="1164"/>
      <c r="B3621" s="1164"/>
      <c r="D3621" s="1224"/>
    </row>
    <row r="3622" spans="1:4" x14ac:dyDescent="0.2">
      <c r="A3622" s="1164"/>
      <c r="B3622" s="1164"/>
      <c r="D3622" s="1224"/>
    </row>
    <row r="3623" spans="1:4" x14ac:dyDescent="0.2">
      <c r="A3623" s="1164"/>
      <c r="B3623" s="1164"/>
      <c r="D3623" s="1224"/>
    </row>
    <row r="3624" spans="1:4" x14ac:dyDescent="0.2">
      <c r="A3624" s="1164"/>
      <c r="B3624" s="1164"/>
      <c r="D3624" s="1224"/>
    </row>
    <row r="3625" spans="1:4" x14ac:dyDescent="0.2">
      <c r="A3625" s="1164"/>
      <c r="B3625" s="1164"/>
      <c r="D3625" s="1224"/>
    </row>
    <row r="3626" spans="1:4" x14ac:dyDescent="0.2">
      <c r="A3626" s="1164"/>
      <c r="B3626" s="1164"/>
      <c r="D3626" s="1224"/>
    </row>
    <row r="3627" spans="1:4" x14ac:dyDescent="0.2">
      <c r="A3627" s="1164"/>
      <c r="B3627" s="1164"/>
      <c r="D3627" s="1224"/>
    </row>
    <row r="3628" spans="1:4" x14ac:dyDescent="0.2">
      <c r="A3628" s="1164"/>
      <c r="B3628" s="1164"/>
      <c r="D3628" s="1224"/>
    </row>
    <row r="3629" spans="1:4" x14ac:dyDescent="0.2">
      <c r="A3629" s="1164"/>
      <c r="B3629" s="1164"/>
      <c r="D3629" s="1224"/>
    </row>
    <row r="3630" spans="1:4" x14ac:dyDescent="0.2">
      <c r="A3630" s="1164"/>
      <c r="B3630" s="1164"/>
      <c r="D3630" s="1224"/>
    </row>
    <row r="3631" spans="1:4" x14ac:dyDescent="0.2">
      <c r="A3631" s="1164"/>
      <c r="B3631" s="1164"/>
      <c r="D3631" s="1224"/>
    </row>
    <row r="3632" spans="1:4" x14ac:dyDescent="0.2">
      <c r="A3632" s="1164"/>
      <c r="B3632" s="1164"/>
      <c r="D3632" s="1224"/>
    </row>
    <row r="3633" spans="1:4" x14ac:dyDescent="0.2">
      <c r="A3633" s="1164"/>
      <c r="B3633" s="1164"/>
      <c r="D3633" s="1224"/>
    </row>
    <row r="3634" spans="1:4" x14ac:dyDescent="0.2">
      <c r="A3634" s="1164"/>
      <c r="B3634" s="1164"/>
      <c r="D3634" s="1224"/>
    </row>
    <row r="3635" spans="1:4" x14ac:dyDescent="0.2">
      <c r="A3635" s="1164"/>
      <c r="B3635" s="1164"/>
      <c r="D3635" s="1224"/>
    </row>
    <row r="3636" spans="1:4" x14ac:dyDescent="0.2">
      <c r="A3636" s="1164"/>
      <c r="B3636" s="1164"/>
      <c r="D3636" s="1224"/>
    </row>
    <row r="3637" spans="1:4" x14ac:dyDescent="0.2">
      <c r="A3637" s="1164"/>
      <c r="B3637" s="1164"/>
      <c r="D3637" s="1224"/>
    </row>
    <row r="3638" spans="1:4" x14ac:dyDescent="0.2">
      <c r="A3638" s="1164"/>
      <c r="B3638" s="1164"/>
      <c r="D3638" s="1224"/>
    </row>
    <row r="3639" spans="1:4" x14ac:dyDescent="0.2">
      <c r="A3639" s="1164"/>
      <c r="B3639" s="1164"/>
      <c r="D3639" s="1224"/>
    </row>
    <row r="3640" spans="1:4" x14ac:dyDescent="0.2">
      <c r="A3640" s="1164"/>
      <c r="B3640" s="1164"/>
      <c r="D3640" s="1224"/>
    </row>
    <row r="3641" spans="1:4" x14ac:dyDescent="0.2">
      <c r="A3641" s="1164"/>
      <c r="B3641" s="1164"/>
      <c r="D3641" s="1224"/>
    </row>
    <row r="3642" spans="1:4" x14ac:dyDescent="0.2">
      <c r="A3642" s="1164"/>
      <c r="B3642" s="1164"/>
      <c r="D3642" s="1224"/>
    </row>
    <row r="3643" spans="1:4" x14ac:dyDescent="0.2">
      <c r="A3643" s="1164"/>
      <c r="B3643" s="1164"/>
      <c r="D3643" s="1224"/>
    </row>
    <row r="3644" spans="1:4" x14ac:dyDescent="0.2">
      <c r="A3644" s="1164"/>
      <c r="B3644" s="1164"/>
      <c r="D3644" s="1224"/>
    </row>
    <row r="3645" spans="1:4" x14ac:dyDescent="0.2">
      <c r="A3645" s="1164"/>
      <c r="B3645" s="1164"/>
      <c r="D3645" s="1224"/>
    </row>
    <row r="3646" spans="1:4" x14ac:dyDescent="0.2">
      <c r="A3646" s="1164"/>
      <c r="B3646" s="1164"/>
      <c r="D3646" s="1224"/>
    </row>
    <row r="3647" spans="1:4" x14ac:dyDescent="0.2">
      <c r="A3647" s="1164"/>
      <c r="B3647" s="1164"/>
      <c r="D3647" s="1224"/>
    </row>
    <row r="3648" spans="1:4" x14ac:dyDescent="0.2">
      <c r="A3648" s="1164"/>
      <c r="B3648" s="1164"/>
      <c r="D3648" s="1224"/>
    </row>
    <row r="3649" spans="1:4" x14ac:dyDescent="0.2">
      <c r="A3649" s="1164"/>
      <c r="B3649" s="1164"/>
      <c r="D3649" s="1224"/>
    </row>
    <row r="3650" spans="1:4" x14ac:dyDescent="0.2">
      <c r="A3650" s="1164"/>
      <c r="B3650" s="1164"/>
      <c r="D3650" s="1224"/>
    </row>
    <row r="3651" spans="1:4" x14ac:dyDescent="0.2">
      <c r="A3651" s="1164"/>
      <c r="B3651" s="1164"/>
      <c r="D3651" s="1224"/>
    </row>
    <row r="3652" spans="1:4" x14ac:dyDescent="0.2">
      <c r="A3652" s="1164"/>
      <c r="B3652" s="1164"/>
      <c r="D3652" s="1224"/>
    </row>
    <row r="3653" spans="1:4" x14ac:dyDescent="0.2">
      <c r="A3653" s="1164"/>
      <c r="B3653" s="1164"/>
      <c r="D3653" s="1224"/>
    </row>
    <row r="3654" spans="1:4" x14ac:dyDescent="0.2">
      <c r="A3654" s="1164"/>
      <c r="B3654" s="1164"/>
      <c r="D3654" s="1224"/>
    </row>
    <row r="3655" spans="1:4" x14ac:dyDescent="0.2">
      <c r="A3655" s="1164"/>
      <c r="B3655" s="1164"/>
      <c r="D3655" s="1224"/>
    </row>
    <row r="3656" spans="1:4" x14ac:dyDescent="0.2">
      <c r="A3656" s="1164"/>
      <c r="B3656" s="1164"/>
      <c r="D3656" s="1224"/>
    </row>
    <row r="3657" spans="1:4" x14ac:dyDescent="0.2">
      <c r="A3657" s="1164"/>
      <c r="B3657" s="1164"/>
      <c r="D3657" s="1224"/>
    </row>
    <row r="3658" spans="1:4" x14ac:dyDescent="0.2">
      <c r="A3658" s="1164"/>
      <c r="B3658" s="1164"/>
      <c r="D3658" s="1224"/>
    </row>
    <row r="3659" spans="1:4" x14ac:dyDescent="0.2">
      <c r="A3659" s="1164"/>
      <c r="B3659" s="1164"/>
      <c r="D3659" s="1224"/>
    </row>
    <row r="3660" spans="1:4" x14ac:dyDescent="0.2">
      <c r="A3660" s="1164"/>
      <c r="B3660" s="1164"/>
      <c r="D3660" s="1224"/>
    </row>
    <row r="3661" spans="1:4" x14ac:dyDescent="0.2">
      <c r="A3661" s="1164"/>
      <c r="B3661" s="1164"/>
      <c r="D3661" s="1224"/>
    </row>
    <row r="3662" spans="1:4" x14ac:dyDescent="0.2">
      <c r="A3662" s="1164"/>
      <c r="B3662" s="1164"/>
      <c r="D3662" s="1224"/>
    </row>
    <row r="3663" spans="1:4" x14ac:dyDescent="0.2">
      <c r="A3663" s="1164"/>
      <c r="B3663" s="1164"/>
      <c r="D3663" s="1224"/>
    </row>
    <row r="3664" spans="1:4" x14ac:dyDescent="0.2">
      <c r="A3664" s="1164"/>
      <c r="B3664" s="1164"/>
      <c r="D3664" s="1224"/>
    </row>
    <row r="3665" spans="1:4" x14ac:dyDescent="0.2">
      <c r="A3665" s="1164"/>
      <c r="B3665" s="1164"/>
      <c r="D3665" s="1224"/>
    </row>
    <row r="3666" spans="1:4" x14ac:dyDescent="0.2">
      <c r="A3666" s="1164"/>
      <c r="B3666" s="1164"/>
      <c r="D3666" s="1224"/>
    </row>
    <row r="3667" spans="1:4" x14ac:dyDescent="0.2">
      <c r="A3667" s="1164"/>
      <c r="B3667" s="1164"/>
      <c r="D3667" s="1224"/>
    </row>
    <row r="3668" spans="1:4" x14ac:dyDescent="0.2">
      <c r="A3668" s="1164"/>
      <c r="B3668" s="1164"/>
      <c r="D3668" s="1224"/>
    </row>
    <row r="3669" spans="1:4" x14ac:dyDescent="0.2">
      <c r="A3669" s="1164"/>
      <c r="B3669" s="1164"/>
      <c r="D3669" s="1224"/>
    </row>
    <row r="3670" spans="1:4" x14ac:dyDescent="0.2">
      <c r="A3670" s="1164"/>
      <c r="B3670" s="1164"/>
      <c r="D3670" s="1224"/>
    </row>
    <row r="3671" spans="1:4" x14ac:dyDescent="0.2">
      <c r="A3671" s="1164"/>
      <c r="B3671" s="1164"/>
      <c r="D3671" s="1224"/>
    </row>
    <row r="3672" spans="1:4" x14ac:dyDescent="0.2">
      <c r="A3672" s="1164"/>
      <c r="B3672" s="1164"/>
      <c r="D3672" s="1224"/>
    </row>
    <row r="3673" spans="1:4" x14ac:dyDescent="0.2">
      <c r="A3673" s="1164"/>
      <c r="B3673" s="1164"/>
      <c r="D3673" s="1224"/>
    </row>
    <row r="3674" spans="1:4" x14ac:dyDescent="0.2">
      <c r="A3674" s="1164"/>
      <c r="B3674" s="1164"/>
      <c r="D3674" s="1224"/>
    </row>
    <row r="3675" spans="1:4" x14ac:dyDescent="0.2">
      <c r="A3675" s="1164"/>
      <c r="B3675" s="1164"/>
      <c r="D3675" s="1224"/>
    </row>
    <row r="3676" spans="1:4" x14ac:dyDescent="0.2">
      <c r="A3676" s="1164"/>
      <c r="B3676" s="1164"/>
      <c r="D3676" s="1224"/>
    </row>
    <row r="3677" spans="1:4" x14ac:dyDescent="0.2">
      <c r="A3677" s="1164"/>
      <c r="B3677" s="1164"/>
      <c r="D3677" s="1224"/>
    </row>
    <row r="3678" spans="1:4" x14ac:dyDescent="0.2">
      <c r="A3678" s="1164"/>
      <c r="B3678" s="1164"/>
      <c r="D3678" s="1224"/>
    </row>
    <row r="3679" spans="1:4" x14ac:dyDescent="0.2">
      <c r="A3679" s="1164"/>
      <c r="B3679" s="1164"/>
      <c r="D3679" s="1224"/>
    </row>
    <row r="3680" spans="1:4" x14ac:dyDescent="0.2">
      <c r="A3680" s="1164"/>
      <c r="B3680" s="1164"/>
      <c r="D3680" s="1224"/>
    </row>
    <row r="3681" spans="1:4" x14ac:dyDescent="0.2">
      <c r="A3681" s="1164"/>
      <c r="B3681" s="1164"/>
      <c r="D3681" s="1224"/>
    </row>
    <row r="3682" spans="1:4" x14ac:dyDescent="0.2">
      <c r="A3682" s="1164"/>
      <c r="B3682" s="1164"/>
      <c r="D3682" s="1224"/>
    </row>
    <row r="3683" spans="1:4" x14ac:dyDescent="0.2">
      <c r="A3683" s="1164"/>
      <c r="B3683" s="1164"/>
      <c r="D3683" s="1224"/>
    </row>
    <row r="3684" spans="1:4" x14ac:dyDescent="0.2">
      <c r="A3684" s="1164"/>
      <c r="B3684" s="1164"/>
      <c r="D3684" s="1224"/>
    </row>
    <row r="3685" spans="1:4" x14ac:dyDescent="0.2">
      <c r="A3685" s="1164"/>
      <c r="B3685" s="1164"/>
      <c r="D3685" s="1224"/>
    </row>
    <row r="3686" spans="1:4" x14ac:dyDescent="0.2">
      <c r="A3686" s="1164"/>
      <c r="B3686" s="1164"/>
      <c r="D3686" s="1224"/>
    </row>
    <row r="3687" spans="1:4" x14ac:dyDescent="0.2">
      <c r="A3687" s="1164"/>
      <c r="B3687" s="1164"/>
      <c r="D3687" s="1224"/>
    </row>
    <row r="3688" spans="1:4" x14ac:dyDescent="0.2">
      <c r="A3688" s="1164"/>
      <c r="B3688" s="1164"/>
      <c r="D3688" s="1224"/>
    </row>
    <row r="3689" spans="1:4" x14ac:dyDescent="0.2">
      <c r="A3689" s="1164"/>
      <c r="B3689" s="1164"/>
      <c r="D3689" s="1224"/>
    </row>
    <row r="3690" spans="1:4" x14ac:dyDescent="0.2">
      <c r="A3690" s="1164"/>
      <c r="B3690" s="1164"/>
      <c r="D3690" s="1224"/>
    </row>
    <row r="3691" spans="1:4" x14ac:dyDescent="0.2">
      <c r="A3691" s="1164"/>
      <c r="B3691" s="1164"/>
      <c r="D3691" s="1224"/>
    </row>
    <row r="3692" spans="1:4" x14ac:dyDescent="0.2">
      <c r="A3692" s="1164"/>
      <c r="B3692" s="1164"/>
      <c r="D3692" s="1224"/>
    </row>
    <row r="3693" spans="1:4" x14ac:dyDescent="0.2">
      <c r="A3693" s="1164"/>
      <c r="B3693" s="1164"/>
      <c r="D3693" s="1224"/>
    </row>
    <row r="3694" spans="1:4" x14ac:dyDescent="0.2">
      <c r="A3694" s="1164"/>
      <c r="B3694" s="1164"/>
      <c r="D3694" s="1224"/>
    </row>
    <row r="3695" spans="1:4" x14ac:dyDescent="0.2">
      <c r="A3695" s="1164"/>
      <c r="B3695" s="1164"/>
      <c r="D3695" s="1224"/>
    </row>
    <row r="3696" spans="1:4" x14ac:dyDescent="0.2">
      <c r="A3696" s="1164"/>
      <c r="B3696" s="1164"/>
      <c r="D3696" s="1224"/>
    </row>
    <row r="3697" spans="1:4" x14ac:dyDescent="0.2">
      <c r="A3697" s="1164"/>
      <c r="B3697" s="1164"/>
      <c r="D3697" s="1224"/>
    </row>
    <row r="3698" spans="1:4" x14ac:dyDescent="0.2">
      <c r="A3698" s="1164"/>
      <c r="B3698" s="1164"/>
      <c r="D3698" s="1224"/>
    </row>
    <row r="3699" spans="1:4" x14ac:dyDescent="0.2">
      <c r="A3699" s="1164"/>
      <c r="B3699" s="1164"/>
      <c r="D3699" s="1224"/>
    </row>
    <row r="3700" spans="1:4" x14ac:dyDescent="0.2">
      <c r="A3700" s="1164"/>
      <c r="B3700" s="1164"/>
      <c r="D3700" s="1224"/>
    </row>
    <row r="3701" spans="1:4" x14ac:dyDescent="0.2">
      <c r="A3701" s="1164"/>
      <c r="B3701" s="1164"/>
      <c r="D3701" s="1224"/>
    </row>
    <row r="3702" spans="1:4" x14ac:dyDescent="0.2">
      <c r="A3702" s="1164"/>
      <c r="B3702" s="1164"/>
      <c r="D3702" s="1224"/>
    </row>
    <row r="3703" spans="1:4" x14ac:dyDescent="0.2">
      <c r="A3703" s="1164"/>
      <c r="B3703" s="1164"/>
      <c r="D3703" s="1224"/>
    </row>
    <row r="3704" spans="1:4" x14ac:dyDescent="0.2">
      <c r="A3704" s="1164"/>
      <c r="B3704" s="1164"/>
      <c r="D3704" s="1224"/>
    </row>
    <row r="3705" spans="1:4" x14ac:dyDescent="0.2">
      <c r="A3705" s="1164"/>
      <c r="B3705" s="1164"/>
      <c r="D3705" s="1224"/>
    </row>
    <row r="3706" spans="1:4" x14ac:dyDescent="0.2">
      <c r="A3706" s="1164"/>
      <c r="B3706" s="1164"/>
      <c r="D3706" s="1224"/>
    </row>
    <row r="3707" spans="1:4" x14ac:dyDescent="0.2">
      <c r="A3707" s="1164"/>
      <c r="B3707" s="1164"/>
      <c r="D3707" s="1224"/>
    </row>
    <row r="3708" spans="1:4" x14ac:dyDescent="0.2">
      <c r="A3708" s="1164"/>
      <c r="B3708" s="1164"/>
      <c r="D3708" s="1224"/>
    </row>
    <row r="3709" spans="1:4" x14ac:dyDescent="0.2">
      <c r="A3709" s="1164"/>
      <c r="B3709" s="1164"/>
      <c r="D3709" s="1224"/>
    </row>
    <row r="3710" spans="1:4" x14ac:dyDescent="0.2">
      <c r="A3710" s="1164"/>
      <c r="B3710" s="1164"/>
      <c r="D3710" s="1224"/>
    </row>
    <row r="3711" spans="1:4" x14ac:dyDescent="0.2">
      <c r="A3711" s="1164"/>
      <c r="B3711" s="1164"/>
      <c r="D3711" s="1224"/>
    </row>
    <row r="3712" spans="1:4" x14ac:dyDescent="0.2">
      <c r="A3712" s="1164"/>
      <c r="B3712" s="1164"/>
      <c r="D3712" s="1224"/>
    </row>
    <row r="3713" spans="1:4" x14ac:dyDescent="0.2">
      <c r="A3713" s="1164"/>
      <c r="B3713" s="1164"/>
      <c r="D3713" s="1224"/>
    </row>
    <row r="3714" spans="1:4" x14ac:dyDescent="0.2">
      <c r="A3714" s="1164"/>
      <c r="B3714" s="1164"/>
      <c r="D3714" s="1224"/>
    </row>
    <row r="3715" spans="1:4" x14ac:dyDescent="0.2">
      <c r="A3715" s="1164"/>
      <c r="B3715" s="1164"/>
      <c r="D3715" s="1224"/>
    </row>
    <row r="3716" spans="1:4" x14ac:dyDescent="0.2">
      <c r="A3716" s="1164"/>
      <c r="B3716" s="1164"/>
      <c r="D3716" s="1224"/>
    </row>
    <row r="3717" spans="1:4" x14ac:dyDescent="0.2">
      <c r="A3717" s="1164"/>
      <c r="B3717" s="1164"/>
      <c r="D3717" s="1224"/>
    </row>
    <row r="3718" spans="1:4" x14ac:dyDescent="0.2">
      <c r="A3718" s="1164"/>
      <c r="B3718" s="1164"/>
      <c r="D3718" s="1224"/>
    </row>
    <row r="3719" spans="1:4" x14ac:dyDescent="0.2">
      <c r="A3719" s="1164"/>
      <c r="B3719" s="1164"/>
      <c r="D3719" s="1224"/>
    </row>
    <row r="3720" spans="1:4" x14ac:dyDescent="0.2">
      <c r="A3720" s="1164"/>
      <c r="B3720" s="1164"/>
      <c r="D3720" s="1224"/>
    </row>
  </sheetData>
  <mergeCells count="5">
    <mergeCell ref="A1:D2"/>
    <mergeCell ref="B3:D3"/>
    <mergeCell ref="A6:A7"/>
    <mergeCell ref="B6:B7"/>
    <mergeCell ref="C6:C7"/>
  </mergeCells>
  <printOptions horizontalCentered="1"/>
  <pageMargins left="0.7" right="0.7" top="0.5" bottom="0.5" header="0.3" footer="0.3"/>
  <pageSetup paperSize="9" scale="90" firstPageNumber="59" orientation="portrait" useFirstPageNumber="1" horizontalDpi="4294967294" verticalDpi="4294967293" r:id="rId1"/>
  <headerFooter alignWithMargins="0"/>
  <colBreaks count="1" manualBreakCount="1">
    <brk id="4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tabSelected="1" view="pageBreakPreview" zoomScale="80" zoomScaleNormal="100" zoomScaleSheetLayoutView="80" workbookViewId="0">
      <selection activeCell="M7" sqref="M7"/>
    </sheetView>
  </sheetViews>
  <sheetFormatPr defaultRowHeight="15" x14ac:dyDescent="0.25"/>
  <cols>
    <col min="1" max="1" width="10" customWidth="1"/>
    <col min="2" max="2" width="5" customWidth="1"/>
    <col min="3" max="3" width="2.7109375" customWidth="1"/>
    <col min="8" max="8" width="24.85546875" customWidth="1"/>
    <col min="10" max="10" width="13" customWidth="1"/>
    <col min="11" max="11" width="6.42578125" customWidth="1"/>
    <col min="13" max="13" width="17" bestFit="1" customWidth="1"/>
  </cols>
  <sheetData>
    <row r="2" spans="1:12" ht="18.75" x14ac:dyDescent="0.3">
      <c r="A2" s="1513" t="s">
        <v>134</v>
      </c>
      <c r="B2" s="1513"/>
      <c r="C2" s="1513"/>
      <c r="D2" s="1513"/>
      <c r="E2" s="1513"/>
      <c r="F2" s="1513"/>
      <c r="G2" s="1513"/>
      <c r="H2" s="1513"/>
      <c r="I2" s="1513"/>
      <c r="J2" s="1513"/>
    </row>
    <row r="4" spans="1:12" x14ac:dyDescent="0.25">
      <c r="A4" s="1242" t="s">
        <v>995</v>
      </c>
      <c r="C4" s="1242" t="s">
        <v>127</v>
      </c>
      <c r="D4" s="1242" t="str">
        <f>RAB!F8</f>
        <v>SUMATERA UTARA</v>
      </c>
    </row>
    <row r="5" spans="1:12" x14ac:dyDescent="0.25">
      <c r="A5" s="1242" t="s">
        <v>996</v>
      </c>
      <c r="C5" s="1242" t="s">
        <v>127</v>
      </c>
      <c r="D5" s="1242" t="s">
        <v>501</v>
      </c>
    </row>
    <row r="6" spans="1:12" x14ac:dyDescent="0.25">
      <c r="A6" s="1242" t="s">
        <v>997</v>
      </c>
      <c r="C6" s="1242" t="s">
        <v>127</v>
      </c>
      <c r="D6" s="1242" t="str">
        <f>RAB!F10</f>
        <v>PERENCANAAN RENOVASI GUDANG SARANA PRODUKSI BI PALAWIJA TANJUNG SELAMAT</v>
      </c>
    </row>
    <row r="7" spans="1:12" ht="20.25" x14ac:dyDescent="0.25">
      <c r="A7" s="1229"/>
      <c r="B7" s="1229"/>
      <c r="C7" s="1229"/>
      <c r="D7" s="1229"/>
      <c r="E7" s="1229"/>
      <c r="F7" s="1229"/>
      <c r="G7" s="1229"/>
      <c r="H7" s="1229"/>
      <c r="I7" s="1229"/>
      <c r="J7" s="1229"/>
      <c r="K7" s="1228"/>
      <c r="L7" s="1228"/>
    </row>
    <row r="8" spans="1:12" ht="15" customHeight="1" x14ac:dyDescent="0.25">
      <c r="A8" s="1518" t="s">
        <v>146</v>
      </c>
      <c r="B8" s="1518" t="s">
        <v>120</v>
      </c>
      <c r="C8" s="1518"/>
      <c r="D8" s="1518"/>
      <c r="E8" s="1518"/>
      <c r="F8" s="1518"/>
      <c r="G8" s="1518"/>
      <c r="H8" s="1518"/>
      <c r="I8" s="1520" t="s">
        <v>999</v>
      </c>
      <c r="J8" s="1521"/>
      <c r="K8" s="1237"/>
      <c r="L8" s="1237"/>
    </row>
    <row r="9" spans="1:12" ht="15" customHeight="1" x14ac:dyDescent="0.25">
      <c r="A9" s="1519"/>
      <c r="B9" s="1519"/>
      <c r="C9" s="1519"/>
      <c r="D9" s="1519"/>
      <c r="E9" s="1519"/>
      <c r="F9" s="1519"/>
      <c r="G9" s="1519"/>
      <c r="H9" s="1519"/>
      <c r="I9" s="1522"/>
      <c r="J9" s="1523"/>
      <c r="K9" s="1237"/>
      <c r="L9" s="1237"/>
    </row>
    <row r="10" spans="1:12" x14ac:dyDescent="0.25">
      <c r="A10" s="1233" t="str">
        <f>RAB!B15</f>
        <v>I</v>
      </c>
      <c r="B10" s="1234" t="str">
        <f>RAB!C15</f>
        <v>PEKERJAAN PERSIAPAN</v>
      </c>
      <c r="C10" s="145"/>
      <c r="D10" s="145"/>
      <c r="E10" s="145"/>
      <c r="F10" s="145"/>
      <c r="G10" s="145"/>
      <c r="H10" s="1238"/>
      <c r="I10" s="1526">
        <f>RAB!N20</f>
        <v>19129750.133333333</v>
      </c>
      <c r="J10" s="1527"/>
      <c r="K10" s="171"/>
    </row>
    <row r="11" spans="1:12" x14ac:dyDescent="0.25">
      <c r="A11" s="153" t="str">
        <f>RAB!B21</f>
        <v>II</v>
      </c>
      <c r="B11" s="1235" t="str">
        <f>RAB!C21</f>
        <v>PEKERJAAN TANAH</v>
      </c>
      <c r="C11" s="165"/>
      <c r="D11" s="165"/>
      <c r="E11" s="165"/>
      <c r="F11" s="165"/>
      <c r="G11" s="165"/>
      <c r="H11" s="1239"/>
      <c r="I11" s="1524">
        <f>RAB!N25</f>
        <v>2252653.5800000005</v>
      </c>
      <c r="J11" s="1525"/>
      <c r="K11" s="171"/>
    </row>
    <row r="12" spans="1:12" x14ac:dyDescent="0.25">
      <c r="A12" s="153" t="s">
        <v>701</v>
      </c>
      <c r="B12" s="1236" t="str">
        <f>RAB!C26</f>
        <v xml:space="preserve">PEKERJAAN PONDASI </v>
      </c>
      <c r="C12" s="150"/>
      <c r="D12" s="150"/>
      <c r="E12" s="150"/>
      <c r="F12" s="150"/>
      <c r="G12" s="150"/>
      <c r="H12" s="269"/>
      <c r="I12" s="1524">
        <f>RAB!N28</f>
        <v>15145519.039687501</v>
      </c>
      <c r="J12" s="1525"/>
      <c r="K12" s="171"/>
    </row>
    <row r="13" spans="1:12" x14ac:dyDescent="0.25">
      <c r="A13" s="153" t="s">
        <v>709</v>
      </c>
      <c r="B13" s="1236" t="str">
        <f>RAB!C29</f>
        <v xml:space="preserve">PEKERJAAN BETON </v>
      </c>
      <c r="C13" s="150"/>
      <c r="D13" s="150"/>
      <c r="E13" s="150"/>
      <c r="F13" s="150"/>
      <c r="G13" s="150"/>
      <c r="H13" s="269"/>
      <c r="I13" s="1524">
        <f>RAB!N62</f>
        <v>60509526.165563829</v>
      </c>
      <c r="J13" s="1525"/>
      <c r="K13" s="171"/>
    </row>
    <row r="14" spans="1:12" x14ac:dyDescent="0.25">
      <c r="A14" s="1231" t="s">
        <v>680</v>
      </c>
      <c r="B14" s="305" t="str">
        <f>RAB!C63</f>
        <v xml:space="preserve">PEKERJAAN DINDING </v>
      </c>
      <c r="C14" s="306"/>
      <c r="D14" s="306"/>
      <c r="E14" s="306"/>
      <c r="F14" s="306"/>
      <c r="G14" s="306"/>
      <c r="H14" s="307"/>
      <c r="I14" s="1524">
        <f>RAB!N70</f>
        <v>78317796.59587501</v>
      </c>
      <c r="J14" s="1525"/>
      <c r="K14" s="171"/>
    </row>
    <row r="15" spans="1:12" x14ac:dyDescent="0.25">
      <c r="A15" s="153" t="str">
        <f>RAB!B71</f>
        <v>VI</v>
      </c>
      <c r="B15" s="1236" t="str">
        <f>RAB!C71</f>
        <v>PEKERJAAN  PINTU DAN JENDELA</v>
      </c>
      <c r="C15" s="150"/>
      <c r="D15" s="150"/>
      <c r="E15" s="150"/>
      <c r="F15" s="150"/>
      <c r="G15" s="150"/>
      <c r="H15" s="269"/>
      <c r="I15" s="1524">
        <f>RAB!N85</f>
        <v>31566522.025398135</v>
      </c>
      <c r="J15" s="1525"/>
      <c r="K15" s="171"/>
    </row>
    <row r="16" spans="1:12" x14ac:dyDescent="0.25">
      <c r="A16" s="1231" t="s">
        <v>727</v>
      </c>
      <c r="B16" s="305" t="str">
        <f>RAB!C86</f>
        <v>PEKERJAAN ATAP + PLAFOND</v>
      </c>
      <c r="C16" s="306"/>
      <c r="D16" s="306"/>
      <c r="E16" s="306"/>
      <c r="F16" s="306"/>
      <c r="G16" s="306"/>
      <c r="H16" s="307"/>
      <c r="I16" s="1524">
        <f>RAB!N95</f>
        <v>157332417.62640002</v>
      </c>
      <c r="J16" s="1525"/>
      <c r="K16" s="171"/>
    </row>
    <row r="17" spans="1:13" x14ac:dyDescent="0.25">
      <c r="A17" s="1231" t="s">
        <v>730</v>
      </c>
      <c r="B17" s="305" t="str">
        <f>RAB!C96</f>
        <v xml:space="preserve">PEKERJAAN INSTALASI AIR + LISTRIK </v>
      </c>
      <c r="C17" s="306"/>
      <c r="D17" s="306"/>
      <c r="E17" s="306"/>
      <c r="F17" s="306"/>
      <c r="G17" s="306"/>
      <c r="H17" s="307"/>
      <c r="I17" s="1534">
        <f>RAB!N119</f>
        <v>35610461.106183335</v>
      </c>
      <c r="J17" s="1535"/>
      <c r="K17" s="171"/>
    </row>
    <row r="18" spans="1:13" x14ac:dyDescent="0.25">
      <c r="A18" s="1231" t="s">
        <v>542</v>
      </c>
      <c r="B18" s="305" t="str">
        <f>RAB!C120</f>
        <v>PEKERJAAN LANTAI &amp; DINDING KERAMIK</v>
      </c>
      <c r="C18" s="306"/>
      <c r="D18" s="306"/>
      <c r="E18" s="306"/>
      <c r="F18" s="306"/>
      <c r="G18" s="306"/>
      <c r="H18" s="307"/>
      <c r="I18" s="1524">
        <f>RAB!N128</f>
        <v>71214619.994679987</v>
      </c>
      <c r="J18" s="1525"/>
      <c r="K18" s="171"/>
    </row>
    <row r="19" spans="1:13" x14ac:dyDescent="0.25">
      <c r="A19" s="1231" t="s">
        <v>470</v>
      </c>
      <c r="B19" s="305" t="s">
        <v>1021</v>
      </c>
      <c r="C19" s="306"/>
      <c r="D19" s="306"/>
      <c r="E19" s="306"/>
      <c r="F19" s="306"/>
      <c r="G19" s="306"/>
      <c r="H19" s="307"/>
      <c r="I19" s="1280"/>
      <c r="J19" s="1281">
        <f>RAB!N135</f>
        <v>4990000</v>
      </c>
      <c r="K19" s="171"/>
    </row>
    <row r="20" spans="1:13" ht="15.75" thickBot="1" x14ac:dyDescent="0.3">
      <c r="A20" s="1232"/>
      <c r="B20" s="1230"/>
      <c r="C20" s="279"/>
      <c r="D20" s="279"/>
      <c r="E20" s="279"/>
      <c r="F20" s="279"/>
      <c r="G20" s="279"/>
      <c r="H20" s="642"/>
      <c r="I20" s="1516"/>
      <c r="J20" s="1517"/>
      <c r="K20" s="171"/>
    </row>
    <row r="21" spans="1:13" ht="15.75" thickTop="1" x14ac:dyDescent="0.25">
      <c r="A21" s="175"/>
      <c r="B21" s="278"/>
      <c r="C21" s="278"/>
      <c r="D21" s="278"/>
      <c r="E21" s="1532" t="s">
        <v>135</v>
      </c>
      <c r="F21" s="1532"/>
      <c r="G21" s="1532"/>
      <c r="H21" s="1533"/>
      <c r="I21" s="1514">
        <f>SUM(I10:J19)</f>
        <v>476069266.2671212</v>
      </c>
      <c r="J21" s="1515"/>
      <c r="K21" s="171"/>
    </row>
    <row r="22" spans="1:13" x14ac:dyDescent="0.25">
      <c r="A22" s="154"/>
      <c r="B22" s="150"/>
      <c r="C22" s="150"/>
      <c r="D22" s="150"/>
      <c r="E22" s="1530" t="s">
        <v>1020</v>
      </c>
      <c r="F22" s="1530"/>
      <c r="G22" s="1530"/>
      <c r="H22" s="1531"/>
      <c r="I22" s="1538">
        <f>I21*11%</f>
        <v>52367619.289383329</v>
      </c>
      <c r="J22" s="1539"/>
      <c r="K22" s="171"/>
    </row>
    <row r="23" spans="1:13" x14ac:dyDescent="0.25">
      <c r="A23" s="154"/>
      <c r="B23" s="150"/>
      <c r="C23" s="150"/>
      <c r="D23" s="150"/>
      <c r="E23" s="1530" t="s">
        <v>136</v>
      </c>
      <c r="F23" s="1530"/>
      <c r="G23" s="1530"/>
      <c r="H23" s="1531"/>
      <c r="I23" s="1538">
        <f>I21+I22</f>
        <v>528436885.55650455</v>
      </c>
      <c r="J23" s="1539"/>
      <c r="K23" s="171"/>
      <c r="M23" s="1372">
        <v>529830000</v>
      </c>
    </row>
    <row r="24" spans="1:13" ht="15.75" thickBot="1" x14ac:dyDescent="0.3">
      <c r="A24" s="277"/>
      <c r="B24" s="279"/>
      <c r="C24" s="279"/>
      <c r="D24" s="279"/>
      <c r="E24" s="1528" t="s">
        <v>1001</v>
      </c>
      <c r="F24" s="1528"/>
      <c r="G24" s="1528"/>
      <c r="H24" s="1529"/>
      <c r="I24" s="1536">
        <f>+ROUND(I23,-3)</f>
        <v>528437000</v>
      </c>
      <c r="J24" s="1537"/>
      <c r="K24" s="171"/>
      <c r="M24" s="1373">
        <f>I24-M23</f>
        <v>-1393000</v>
      </c>
    </row>
    <row r="25" spans="1:13" ht="15.75" thickTop="1" x14ac:dyDescent="0.25">
      <c r="D25" s="1241"/>
      <c r="E25" s="1241"/>
      <c r="F25" s="1241"/>
      <c r="G25" s="1241"/>
      <c r="H25" s="176"/>
      <c r="I25" s="171"/>
      <c r="J25" s="171"/>
      <c r="K25" s="175"/>
      <c r="L25" s="171"/>
    </row>
    <row r="26" spans="1:13" ht="16.5" x14ac:dyDescent="0.25">
      <c r="A26" s="1240" t="s">
        <v>1000</v>
      </c>
      <c r="B26" s="1241" t="s">
        <v>127</v>
      </c>
      <c r="C26" s="1241" t="s">
        <v>1289</v>
      </c>
      <c r="D26" s="276"/>
      <c r="E26" s="171"/>
      <c r="F26" s="171"/>
      <c r="G26" s="171"/>
      <c r="H26" s="176"/>
      <c r="I26" s="171"/>
      <c r="J26" s="171"/>
      <c r="K26" s="175"/>
      <c r="L26" s="171"/>
    </row>
    <row r="27" spans="1:13" x14ac:dyDescent="0.25">
      <c r="A27" s="185"/>
      <c r="B27" s="174"/>
      <c r="C27" s="174"/>
      <c r="D27" s="174"/>
      <c r="E27" s="174"/>
      <c r="F27" s="174"/>
      <c r="G27" s="174"/>
      <c r="H27" s="186"/>
      <c r="I27" s="174"/>
      <c r="J27" s="174"/>
      <c r="K27" s="175"/>
      <c r="L27" s="171"/>
    </row>
    <row r="28" spans="1:13" x14ac:dyDescent="0.25">
      <c r="A28" s="173"/>
      <c r="B28" s="173"/>
      <c r="C28" s="173"/>
      <c r="D28" s="173"/>
      <c r="E28" s="173"/>
      <c r="F28" s="173"/>
      <c r="G28" s="173"/>
      <c r="H28" s="182"/>
      <c r="I28" s="173"/>
      <c r="J28" s="173"/>
      <c r="K28" s="171"/>
      <c r="L28" s="171"/>
    </row>
    <row r="29" spans="1:13" x14ac:dyDescent="0.25">
      <c r="A29" s="137"/>
      <c r="B29" s="137"/>
      <c r="C29" s="137"/>
      <c r="D29" s="137"/>
      <c r="E29" s="137"/>
      <c r="F29" s="137"/>
      <c r="G29" s="137"/>
      <c r="H29" s="138"/>
      <c r="I29" s="137"/>
      <c r="J29" s="137"/>
      <c r="K29" s="137"/>
      <c r="L29" s="137"/>
    </row>
    <row r="30" spans="1:13" x14ac:dyDescent="0.25">
      <c r="A30" s="137"/>
      <c r="B30" s="137"/>
      <c r="C30" s="137"/>
      <c r="D30" s="137"/>
      <c r="E30" s="137"/>
      <c r="F30" s="137"/>
      <c r="G30" s="137"/>
      <c r="H30" s="138"/>
      <c r="I30" s="137"/>
      <c r="J30" s="137"/>
      <c r="K30" s="137"/>
      <c r="L30" s="137"/>
    </row>
    <row r="31" spans="1:13" x14ac:dyDescent="0.25">
      <c r="A31" s="137"/>
      <c r="B31" s="137"/>
      <c r="C31" s="137"/>
      <c r="D31" s="137"/>
      <c r="E31" s="137"/>
      <c r="F31" s="137"/>
      <c r="G31" s="137"/>
      <c r="H31" s="138"/>
      <c r="I31" s="137"/>
      <c r="J31" s="178"/>
      <c r="K31" s="137"/>
      <c r="L31" s="137"/>
    </row>
    <row r="32" spans="1:13" x14ac:dyDescent="0.25">
      <c r="A32" s="137"/>
      <c r="B32" s="137"/>
      <c r="C32" s="178"/>
      <c r="E32" s="137"/>
      <c r="F32" s="137"/>
      <c r="G32" s="137"/>
      <c r="H32" s="138"/>
      <c r="I32" s="137"/>
      <c r="J32" s="178"/>
      <c r="K32" s="137"/>
      <c r="L32" s="137"/>
    </row>
    <row r="33" spans="1:12" x14ac:dyDescent="0.25">
      <c r="A33" s="137"/>
      <c r="B33" s="137"/>
      <c r="C33" s="141"/>
      <c r="E33" s="140"/>
      <c r="F33" s="140"/>
      <c r="G33" s="140"/>
      <c r="H33" s="191"/>
      <c r="I33" s="140"/>
      <c r="J33" s="141"/>
      <c r="K33" s="137"/>
      <c r="L33" s="137"/>
    </row>
    <row r="34" spans="1:12" x14ac:dyDescent="0.25">
      <c r="A34" s="137"/>
      <c r="B34" s="137"/>
      <c r="C34" s="141"/>
      <c r="E34" s="140"/>
      <c r="F34" s="140"/>
      <c r="G34" s="140"/>
      <c r="H34" s="191"/>
      <c r="I34" s="140"/>
      <c r="J34" s="141"/>
      <c r="K34" s="137"/>
      <c r="L34" s="137"/>
    </row>
    <row r="35" spans="1:12" x14ac:dyDescent="0.25">
      <c r="A35" s="137"/>
      <c r="B35" s="137"/>
      <c r="C35" s="178"/>
      <c r="E35" s="137"/>
      <c r="F35" s="137"/>
      <c r="G35" s="137"/>
      <c r="H35" s="138"/>
      <c r="I35" s="137"/>
      <c r="J35" s="178"/>
      <c r="K35" s="137"/>
      <c r="L35" s="137"/>
    </row>
    <row r="36" spans="1:12" x14ac:dyDescent="0.25">
      <c r="A36" s="137"/>
      <c r="B36" s="137"/>
      <c r="C36" s="178"/>
      <c r="E36" s="137"/>
      <c r="F36" s="137"/>
      <c r="G36" s="137"/>
      <c r="H36" s="138"/>
      <c r="I36" s="137"/>
      <c r="J36" s="178"/>
      <c r="K36" s="137"/>
      <c r="L36" s="137"/>
    </row>
    <row r="37" spans="1:12" x14ac:dyDescent="0.25">
      <c r="A37" s="137"/>
      <c r="B37" s="137"/>
      <c r="C37" s="178"/>
      <c r="E37" s="137"/>
      <c r="F37" s="137"/>
      <c r="G37" s="137"/>
      <c r="H37" s="138"/>
      <c r="I37" s="137"/>
      <c r="J37" s="178"/>
      <c r="K37" s="137"/>
      <c r="L37" s="137"/>
    </row>
    <row r="38" spans="1:12" x14ac:dyDescent="0.25">
      <c r="A38" s="137"/>
      <c r="B38" s="137"/>
      <c r="C38" s="178"/>
      <c r="E38" s="137"/>
      <c r="F38" s="137"/>
      <c r="G38" s="137"/>
      <c r="H38" s="138"/>
      <c r="I38" s="137"/>
      <c r="J38" s="178"/>
      <c r="K38" s="137"/>
      <c r="L38" s="137"/>
    </row>
    <row r="39" spans="1:12" x14ac:dyDescent="0.25">
      <c r="A39" s="137"/>
      <c r="B39" s="137"/>
      <c r="C39" s="178"/>
      <c r="E39" s="137"/>
      <c r="F39" s="137"/>
      <c r="G39" s="137"/>
      <c r="H39" s="138"/>
      <c r="I39" s="137"/>
      <c r="J39" s="178"/>
      <c r="K39" s="137"/>
      <c r="L39" s="137"/>
    </row>
    <row r="40" spans="1:12" x14ac:dyDescent="0.25">
      <c r="A40" s="137"/>
      <c r="B40" s="137"/>
      <c r="C40" s="190"/>
      <c r="E40" s="137"/>
      <c r="F40" s="137"/>
      <c r="G40" s="137"/>
      <c r="H40" s="138"/>
      <c r="I40" s="137"/>
      <c r="J40" s="362"/>
      <c r="K40" s="137"/>
      <c r="L40" s="137"/>
    </row>
    <row r="41" spans="1:12" x14ac:dyDescent="0.25">
      <c r="A41" s="137"/>
      <c r="B41" s="137"/>
      <c r="C41" s="216"/>
      <c r="E41" s="137"/>
      <c r="F41" s="137"/>
      <c r="G41" s="137"/>
      <c r="H41" s="138"/>
      <c r="I41" s="137"/>
      <c r="J41" s="216"/>
      <c r="K41" s="137"/>
      <c r="L41" s="137"/>
    </row>
    <row r="42" spans="1:12" x14ac:dyDescent="0.25">
      <c r="A42" s="137"/>
      <c r="B42" s="137"/>
      <c r="C42" s="137"/>
      <c r="D42" s="178"/>
      <c r="E42" s="137"/>
      <c r="F42" s="137"/>
      <c r="G42" s="138"/>
      <c r="H42" s="138"/>
      <c r="I42" s="137"/>
      <c r="J42" s="137"/>
      <c r="K42" s="137"/>
      <c r="L42" s="137"/>
    </row>
    <row r="43" spans="1:12" x14ac:dyDescent="0.25">
      <c r="A43" s="137"/>
      <c r="B43" s="137"/>
      <c r="C43" s="137"/>
      <c r="D43" s="137"/>
      <c r="E43" s="137"/>
      <c r="F43" s="137"/>
      <c r="G43" s="138"/>
      <c r="H43" s="138"/>
      <c r="I43" s="137"/>
      <c r="J43" s="137"/>
      <c r="K43" s="137"/>
      <c r="L43" s="137"/>
    </row>
    <row r="44" spans="1:12" x14ac:dyDescent="0.25">
      <c r="A44" s="137"/>
      <c r="B44" s="137"/>
      <c r="C44" s="137"/>
      <c r="D44" s="137"/>
      <c r="E44" s="137"/>
      <c r="F44" s="137"/>
      <c r="G44" s="138"/>
      <c r="H44" s="138"/>
      <c r="I44" s="137"/>
      <c r="J44" s="137"/>
      <c r="K44" s="137"/>
      <c r="L44" s="137"/>
    </row>
    <row r="45" spans="1:12" x14ac:dyDescent="0.25">
      <c r="A45" s="137"/>
      <c r="B45" s="137"/>
      <c r="C45" s="137"/>
      <c r="D45" s="137"/>
      <c r="E45" s="137"/>
      <c r="F45" s="137"/>
      <c r="G45" s="138"/>
      <c r="H45" s="138"/>
      <c r="I45" s="137"/>
      <c r="J45" s="137"/>
      <c r="K45" s="137"/>
      <c r="L45" s="137"/>
    </row>
    <row r="46" spans="1:12" x14ac:dyDescent="0.25">
      <c r="A46" s="137"/>
      <c r="B46" s="137"/>
      <c r="C46" s="137"/>
      <c r="D46" s="137"/>
      <c r="E46" s="137"/>
      <c r="F46" s="137"/>
      <c r="G46" s="138"/>
      <c r="H46" s="138"/>
      <c r="I46" s="137"/>
      <c r="J46" s="137"/>
      <c r="K46" s="137"/>
      <c r="L46" s="137"/>
    </row>
    <row r="47" spans="1:12" x14ac:dyDescent="0.25">
      <c r="A47" s="137"/>
      <c r="B47" s="137"/>
      <c r="C47" s="137"/>
      <c r="D47" s="137"/>
      <c r="E47" s="137"/>
      <c r="F47" s="137"/>
      <c r="G47" s="138"/>
      <c r="H47" s="138"/>
      <c r="I47" s="137"/>
      <c r="J47" s="137"/>
      <c r="K47" s="137"/>
      <c r="L47" s="137"/>
    </row>
    <row r="48" spans="1:12" x14ac:dyDescent="0.25">
      <c r="A48" s="137"/>
      <c r="B48" s="137"/>
      <c r="C48" s="137"/>
      <c r="D48" s="137"/>
      <c r="E48" s="137"/>
      <c r="F48" s="137"/>
      <c r="G48" s="138"/>
      <c r="H48" s="138"/>
      <c r="I48" s="137"/>
      <c r="J48" s="137"/>
      <c r="K48" s="137"/>
      <c r="L48" s="137"/>
    </row>
    <row r="49" spans="1:12" x14ac:dyDescent="0.25">
      <c r="A49" s="137"/>
      <c r="B49" s="137"/>
      <c r="C49" s="137"/>
      <c r="D49" s="137"/>
      <c r="E49" s="137"/>
      <c r="F49" s="137"/>
      <c r="G49" s="138"/>
      <c r="H49" s="138"/>
      <c r="I49" s="137"/>
      <c r="J49" s="137"/>
      <c r="K49" s="137"/>
      <c r="L49" s="137"/>
    </row>
    <row r="50" spans="1:12" x14ac:dyDescent="0.25">
      <c r="A50" s="137"/>
      <c r="B50" s="137"/>
      <c r="C50" s="137"/>
      <c r="D50" s="137"/>
      <c r="E50" s="137"/>
      <c r="F50" s="137"/>
      <c r="G50" s="361"/>
      <c r="H50" s="138"/>
      <c r="I50" s="137"/>
      <c r="J50" s="137"/>
      <c r="K50" s="137"/>
      <c r="L50" s="137"/>
    </row>
    <row r="51" spans="1:12" x14ac:dyDescent="0.25">
      <c r="A51" s="137"/>
      <c r="B51" s="137"/>
      <c r="C51" s="137"/>
      <c r="D51" s="137"/>
      <c r="E51" s="137"/>
      <c r="F51" s="137"/>
      <c r="G51" s="138"/>
      <c r="H51" s="138"/>
      <c r="I51" s="137"/>
      <c r="J51" s="137"/>
      <c r="K51" s="137"/>
      <c r="L51" s="137"/>
    </row>
    <row r="52" spans="1:12" x14ac:dyDescent="0.25">
      <c r="A52" s="137"/>
      <c r="B52" s="137"/>
      <c r="C52" s="137"/>
      <c r="D52" s="137"/>
      <c r="E52" s="137"/>
      <c r="F52" s="137"/>
      <c r="G52" s="137"/>
      <c r="H52" s="138"/>
      <c r="I52" s="137"/>
      <c r="J52" s="137"/>
      <c r="K52" s="137"/>
      <c r="L52" s="137"/>
    </row>
    <row r="53" spans="1:12" x14ac:dyDescent="0.25">
      <c r="A53" s="137"/>
      <c r="B53" s="137"/>
      <c r="C53" s="137"/>
      <c r="D53" s="137"/>
      <c r="E53" s="137"/>
      <c r="F53" s="137"/>
      <c r="G53" s="137"/>
      <c r="H53" s="138"/>
      <c r="I53" s="137"/>
      <c r="J53" s="137"/>
      <c r="K53" s="137"/>
      <c r="L53" s="137"/>
    </row>
    <row r="54" spans="1:12" x14ac:dyDescent="0.25">
      <c r="A54" s="137"/>
      <c r="B54" s="137"/>
      <c r="C54" s="137"/>
      <c r="D54" s="137"/>
      <c r="E54" s="137"/>
      <c r="F54" s="137"/>
      <c r="G54" s="137"/>
      <c r="H54" s="138"/>
      <c r="I54" s="137"/>
      <c r="J54" s="137"/>
      <c r="K54" s="137"/>
      <c r="L54" s="137"/>
    </row>
    <row r="55" spans="1:12" x14ac:dyDescent="0.25">
      <c r="A55" s="137"/>
      <c r="B55" s="137"/>
      <c r="C55" s="137"/>
      <c r="D55" s="137"/>
      <c r="E55" s="137"/>
      <c r="F55" s="137"/>
      <c r="G55" s="137"/>
      <c r="H55" s="138"/>
      <c r="I55" s="137"/>
      <c r="J55" s="137"/>
      <c r="K55" s="137"/>
      <c r="L55" s="137"/>
    </row>
    <row r="56" spans="1:12" x14ac:dyDescent="0.25">
      <c r="A56" s="137"/>
      <c r="B56" s="137"/>
      <c r="C56" s="137"/>
      <c r="D56" s="137"/>
      <c r="E56" s="137"/>
      <c r="F56" s="137"/>
      <c r="G56" s="137"/>
      <c r="H56" s="138"/>
      <c r="I56" s="137"/>
      <c r="J56" s="137"/>
      <c r="K56" s="137"/>
      <c r="L56" s="137"/>
    </row>
  </sheetData>
  <mergeCells count="22">
    <mergeCell ref="E24:H24"/>
    <mergeCell ref="E23:H23"/>
    <mergeCell ref="E22:H22"/>
    <mergeCell ref="E21:H21"/>
    <mergeCell ref="I17:J17"/>
    <mergeCell ref="I24:J24"/>
    <mergeCell ref="I23:J23"/>
    <mergeCell ref="I22:J22"/>
    <mergeCell ref="I18:J18"/>
    <mergeCell ref="A2:J2"/>
    <mergeCell ref="I21:J21"/>
    <mergeCell ref="I20:J20"/>
    <mergeCell ref="B8:H9"/>
    <mergeCell ref="A8:A9"/>
    <mergeCell ref="I8:J9"/>
    <mergeCell ref="I14:J14"/>
    <mergeCell ref="I16:J16"/>
    <mergeCell ref="I15:J15"/>
    <mergeCell ref="I11:J11"/>
    <mergeCell ref="I10:J10"/>
    <mergeCell ref="I13:J13"/>
    <mergeCell ref="I12:J12"/>
  </mergeCells>
  <printOptions horizontalCentered="1"/>
  <pageMargins left="0.36" right="0.2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191"/>
  <sheetViews>
    <sheetView view="pageBreakPreview" zoomScale="85" zoomScaleSheetLayoutView="85" workbookViewId="0">
      <selection activeCell="P101" sqref="P101"/>
    </sheetView>
  </sheetViews>
  <sheetFormatPr defaultRowHeight="13.5" x14ac:dyDescent="0.25"/>
  <cols>
    <col min="1" max="1" width="4.28515625" style="137" customWidth="1"/>
    <col min="2" max="2" width="4.85546875" style="137" customWidth="1"/>
    <col min="3" max="3" width="2.7109375" style="137" customWidth="1"/>
    <col min="4" max="4" width="14.140625" style="137" customWidth="1"/>
    <col min="5" max="5" width="1.42578125" style="137" customWidth="1"/>
    <col min="6" max="6" width="33.5703125" style="137" customWidth="1"/>
    <col min="7" max="7" width="2.7109375" style="137" customWidth="1"/>
    <col min="8" max="8" width="10.42578125" style="137" customWidth="1"/>
    <col min="9" max="9" width="9.5703125" style="137" customWidth="1"/>
    <col min="10" max="10" width="14" style="138" customWidth="1"/>
    <col min="11" max="11" width="4.7109375" style="137" customWidth="1"/>
    <col min="12" max="12" width="14.140625" style="137" customWidth="1"/>
    <col min="13" max="13" width="4.7109375" style="137" customWidth="1"/>
    <col min="14" max="14" width="15" style="137" customWidth="1"/>
    <col min="15" max="15" width="3.85546875" style="137" customWidth="1"/>
    <col min="16" max="16" width="19.85546875" style="137" customWidth="1"/>
    <col min="17" max="17" width="20.140625" style="171" customWidth="1"/>
    <col min="18" max="18" width="14.28515625" style="171" customWidth="1"/>
    <col min="19" max="19" width="15.7109375" style="171" customWidth="1"/>
    <col min="20" max="25" width="9.140625" style="171"/>
    <col min="26" max="16384" width="9.140625" style="137"/>
  </cols>
  <sheetData>
    <row r="1" spans="2:14" ht="20.100000000000001" customHeight="1" x14ac:dyDescent="0.25"/>
    <row r="2" spans="2:14" ht="20.100000000000001" customHeight="1" x14ac:dyDescent="0.25"/>
    <row r="3" spans="2:14" ht="20.100000000000001" customHeight="1" x14ac:dyDescent="0.25"/>
    <row r="4" spans="2:14" ht="17.25" customHeight="1" x14ac:dyDescent="0.25">
      <c r="B4" s="1546" t="str">
        <f>[4]bq!$B$1:$M$1</f>
        <v>RENCANA ANGGARAN BIAYA</v>
      </c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</row>
    <row r="5" spans="2:14" ht="18.75" customHeight="1" x14ac:dyDescent="0.25">
      <c r="B5" s="1243"/>
      <c r="C5" s="1243"/>
      <c r="D5" s="1243"/>
      <c r="E5" s="1243"/>
      <c r="F5" s="1243"/>
      <c r="G5" s="1243"/>
      <c r="H5" s="1243" t="s">
        <v>1277</v>
      </c>
      <c r="I5" s="1243"/>
      <c r="J5" s="1243"/>
      <c r="K5" s="1243"/>
      <c r="L5" s="1243"/>
      <c r="M5" s="1243"/>
      <c r="N5" s="1243"/>
    </row>
    <row r="6" spans="2:14" ht="19.5" customHeight="1" x14ac:dyDescent="0.25">
      <c r="B6" s="1243"/>
      <c r="C6" s="1243"/>
      <c r="D6" s="1243"/>
      <c r="E6" s="1243"/>
      <c r="F6" s="1243"/>
      <c r="G6" s="1243"/>
      <c r="H6" s="1243" t="s">
        <v>1018</v>
      </c>
      <c r="I6" s="1243"/>
      <c r="J6" s="1243"/>
      <c r="K6" s="1243"/>
      <c r="L6" s="1243"/>
      <c r="M6" s="1243"/>
      <c r="N6" s="1243"/>
    </row>
    <row r="7" spans="2:14" ht="19.5" customHeight="1" x14ac:dyDescent="0.25">
      <c r="B7" s="1158"/>
      <c r="C7" s="1158"/>
      <c r="D7" s="1158"/>
      <c r="E7" s="1158"/>
      <c r="F7" s="1158"/>
      <c r="G7" s="1158"/>
      <c r="H7" s="1158"/>
      <c r="I7" s="1158"/>
      <c r="J7" s="1158"/>
      <c r="K7" s="1158"/>
      <c r="L7" s="1158"/>
      <c r="M7" s="1158"/>
      <c r="N7" s="1158"/>
    </row>
    <row r="8" spans="2:14" ht="20.100000000000001" customHeight="1" x14ac:dyDescent="0.25">
      <c r="B8" s="1256" t="s">
        <v>995</v>
      </c>
      <c r="E8" s="364" t="s">
        <v>127</v>
      </c>
      <c r="F8" s="140" t="s">
        <v>998</v>
      </c>
    </row>
    <row r="9" spans="2:14" ht="20.100000000000001" customHeight="1" x14ac:dyDescent="0.25">
      <c r="B9" s="1256" t="s">
        <v>996</v>
      </c>
      <c r="C9" s="139"/>
      <c r="D9" s="140"/>
      <c r="E9" s="141" t="s">
        <v>127</v>
      </c>
      <c r="F9" s="139" t="str">
        <f>REKP!D5</f>
        <v>DELI SERDANG</v>
      </c>
    </row>
    <row r="10" spans="2:14" ht="20.100000000000001" customHeight="1" x14ac:dyDescent="0.25">
      <c r="B10" s="1257" t="s">
        <v>997</v>
      </c>
      <c r="C10" s="139"/>
      <c r="D10" s="140"/>
      <c r="E10" s="141" t="s">
        <v>127</v>
      </c>
      <c r="F10" s="1540" t="s">
        <v>1278</v>
      </c>
      <c r="G10" s="1540"/>
      <c r="H10" s="1540"/>
      <c r="I10" s="1540"/>
      <c r="J10" s="1540"/>
      <c r="K10" s="1540"/>
      <c r="L10" s="1540"/>
      <c r="M10" s="1540"/>
      <c r="N10" s="1540"/>
    </row>
    <row r="11" spans="2:14" ht="20.100000000000001" customHeight="1" thickBot="1" x14ac:dyDescent="0.3"/>
    <row r="12" spans="2:14" ht="20.100000000000001" customHeight="1" x14ac:dyDescent="0.25">
      <c r="B12" s="1553" t="s">
        <v>119</v>
      </c>
      <c r="C12" s="1556" t="s">
        <v>120</v>
      </c>
      <c r="D12" s="1557"/>
      <c r="E12" s="1557"/>
      <c r="F12" s="1557"/>
      <c r="G12" s="1558"/>
      <c r="H12" s="1547" t="s">
        <v>121</v>
      </c>
      <c r="I12" s="1547" t="s">
        <v>105</v>
      </c>
      <c r="J12" s="1547" t="s">
        <v>122</v>
      </c>
      <c r="K12" s="1547" t="s">
        <v>124</v>
      </c>
      <c r="L12" s="1547"/>
      <c r="M12" s="1547" t="s">
        <v>123</v>
      </c>
      <c r="N12" s="1550"/>
    </row>
    <row r="13" spans="2:14" ht="20.100000000000001" customHeight="1" x14ac:dyDescent="0.25">
      <c r="B13" s="1554"/>
      <c r="C13" s="1559"/>
      <c r="D13" s="1560"/>
      <c r="E13" s="1560"/>
      <c r="F13" s="1560"/>
      <c r="G13" s="1561"/>
      <c r="H13" s="1548"/>
      <c r="I13" s="1548"/>
      <c r="J13" s="1548"/>
      <c r="K13" s="1548" t="s">
        <v>105</v>
      </c>
      <c r="L13" s="1548"/>
      <c r="M13" s="1548" t="s">
        <v>104</v>
      </c>
      <c r="N13" s="1551"/>
    </row>
    <row r="14" spans="2:14" ht="20.100000000000001" customHeight="1" thickBot="1" x14ac:dyDescent="0.3">
      <c r="B14" s="143"/>
      <c r="C14" s="271"/>
      <c r="D14" s="1555"/>
      <c r="E14" s="1549"/>
      <c r="F14" s="1549"/>
      <c r="G14" s="1549"/>
      <c r="H14" s="144"/>
      <c r="I14" s="144"/>
      <c r="J14" s="144"/>
      <c r="K14" s="1549"/>
      <c r="L14" s="1549"/>
      <c r="M14" s="1549"/>
      <c r="N14" s="1552"/>
    </row>
    <row r="15" spans="2:14" ht="18" customHeight="1" thickTop="1" x14ac:dyDescent="0.25">
      <c r="B15" s="272" t="s">
        <v>468</v>
      </c>
      <c r="C15" s="281" t="s">
        <v>32</v>
      </c>
      <c r="D15" s="159"/>
      <c r="E15" s="159"/>
      <c r="F15" s="159"/>
      <c r="G15" s="159"/>
      <c r="H15" s="159"/>
      <c r="I15" s="159"/>
      <c r="J15" s="161"/>
      <c r="K15" s="159"/>
      <c r="L15" s="159"/>
      <c r="M15" s="159"/>
      <c r="N15" s="282"/>
    </row>
    <row r="16" spans="2:14" ht="18" customHeight="1" x14ac:dyDescent="0.25">
      <c r="B16" s="316"/>
      <c r="C16" s="621"/>
      <c r="D16" s="145"/>
      <c r="E16" s="145"/>
      <c r="F16" s="145"/>
      <c r="G16" s="146"/>
      <c r="H16" s="317"/>
      <c r="I16" s="147"/>
      <c r="J16" s="147"/>
      <c r="K16" s="148"/>
      <c r="L16" s="1246"/>
      <c r="M16" s="312"/>
      <c r="N16" s="1248"/>
    </row>
    <row r="17" spans="2:25" ht="18" customHeight="1" x14ac:dyDescent="0.25">
      <c r="B17" s="149">
        <v>1</v>
      </c>
      <c r="C17" s="270" t="s">
        <v>131</v>
      </c>
      <c r="D17" s="150"/>
      <c r="E17" s="150"/>
      <c r="F17" s="150"/>
      <c r="G17" s="151"/>
      <c r="H17" s="152">
        <f>'QUANTYTI OK'!F12</f>
        <v>41.2</v>
      </c>
      <c r="I17" s="153" t="s">
        <v>109</v>
      </c>
      <c r="J17" s="153" t="str">
        <f>'AHS-2016'!A24</f>
        <v>A. 2.2.1.4.</v>
      </c>
      <c r="K17" s="154" t="s">
        <v>27</v>
      </c>
      <c r="L17" s="1247">
        <f>'AHS-2016'!G42</f>
        <v>23222.333333333332</v>
      </c>
      <c r="M17" s="154" t="s">
        <v>27</v>
      </c>
      <c r="N17" s="1249">
        <f>H17*L17</f>
        <v>956760.1333333333</v>
      </c>
    </row>
    <row r="18" spans="2:25" ht="18" customHeight="1" x14ac:dyDescent="0.25">
      <c r="B18" s="308">
        <v>2</v>
      </c>
      <c r="C18" s="329" t="s">
        <v>1019</v>
      </c>
      <c r="D18" s="306"/>
      <c r="E18" s="306"/>
      <c r="F18" s="306"/>
      <c r="G18" s="1298"/>
      <c r="H18" s="1293">
        <f>'QUANTYTI OK'!F13</f>
        <v>37.440000000000005</v>
      </c>
      <c r="I18" s="1231" t="s">
        <v>435</v>
      </c>
      <c r="J18" s="622" t="str">
        <f>'AHS-2016'!A14</f>
        <v>A. 2.2.1.14.b</v>
      </c>
      <c r="K18" s="154" t="s">
        <v>27</v>
      </c>
      <c r="L18" s="1294">
        <f>'AHS-2016'!G22</f>
        <v>261625</v>
      </c>
      <c r="M18" s="154" t="s">
        <v>27</v>
      </c>
      <c r="N18" s="1249">
        <f>H18*L18</f>
        <v>9795240.0000000019</v>
      </c>
    </row>
    <row r="19" spans="2:25" ht="18" customHeight="1" x14ac:dyDescent="0.25">
      <c r="B19" s="308">
        <v>3</v>
      </c>
      <c r="C19" s="1314" t="s">
        <v>1054</v>
      </c>
      <c r="D19" s="306"/>
      <c r="E19" s="306"/>
      <c r="F19" s="306"/>
      <c r="G19" s="1298"/>
      <c r="H19" s="1327">
        <f>'QUANTYTI OK'!F14</f>
        <v>62</v>
      </c>
      <c r="I19" s="153" t="s">
        <v>435</v>
      </c>
      <c r="J19" s="630" t="str">
        <f>'AHS-2016'!A4</f>
        <v>A. 2.2.1.14.A</v>
      </c>
      <c r="K19" s="154" t="s">
        <v>27</v>
      </c>
      <c r="L19" s="1247">
        <f>'AHS-2016'!G12</f>
        <v>135125</v>
      </c>
      <c r="M19" s="154" t="s">
        <v>27</v>
      </c>
      <c r="N19" s="1249">
        <f>H19*L19</f>
        <v>8377750</v>
      </c>
    </row>
    <row r="20" spans="2:25" ht="18" customHeight="1" x14ac:dyDescent="0.25">
      <c r="B20" s="157"/>
      <c r="C20" s="161"/>
      <c r="D20" s="158"/>
      <c r="E20" s="159"/>
      <c r="F20" s="159"/>
      <c r="G20" s="159"/>
      <c r="H20" s="160"/>
      <c r="I20" s="161"/>
      <c r="J20" s="162"/>
      <c r="K20" s="163" t="s">
        <v>1002</v>
      </c>
      <c r="L20" s="164"/>
      <c r="M20" s="163" t="s">
        <v>27</v>
      </c>
      <c r="N20" s="1250">
        <f>SUM(N17:N19)</f>
        <v>19129750.133333333</v>
      </c>
      <c r="P20" s="156">
        <f>REKP!I23</f>
        <v>528436885.55650455</v>
      </c>
      <c r="Q20" s="179"/>
    </row>
    <row r="21" spans="2:25" ht="18" customHeight="1" x14ac:dyDescent="0.25">
      <c r="B21" s="320" t="s">
        <v>692</v>
      </c>
      <c r="C21" s="321" t="s">
        <v>31</v>
      </c>
      <c r="D21" s="159"/>
      <c r="E21" s="159"/>
      <c r="F21" s="159"/>
      <c r="G21" s="159"/>
      <c r="H21" s="160"/>
      <c r="I21" s="161"/>
      <c r="J21" s="161"/>
      <c r="K21" s="159"/>
      <c r="L21" s="322"/>
      <c r="M21" s="159"/>
      <c r="N21" s="646"/>
      <c r="P21" s="156">
        <f>REKP!M23-RAB!P20</f>
        <v>1393114.4434954524</v>
      </c>
      <c r="Q21" s="179"/>
    </row>
    <row r="22" spans="2:25" ht="18" customHeight="1" x14ac:dyDescent="0.25">
      <c r="B22" s="318">
        <v>1</v>
      </c>
      <c r="C22" s="319" t="s">
        <v>469</v>
      </c>
      <c r="D22" s="165"/>
      <c r="E22" s="165"/>
      <c r="F22" s="165"/>
      <c r="G22" s="166"/>
      <c r="H22" s="167">
        <f>'QUANTYTI OK'!F16</f>
        <v>6.2720000000000011</v>
      </c>
      <c r="I22" s="153" t="s">
        <v>906</v>
      </c>
      <c r="J22" s="168" t="str">
        <f>'AHS-2016'!A43</f>
        <v>A. 2.3.1.4</v>
      </c>
      <c r="K22" s="169" t="s">
        <v>27</v>
      </c>
      <c r="L22" s="1251">
        <f>'AHS-2016'!G55</f>
        <v>99187.5</v>
      </c>
      <c r="M22" s="169" t="s">
        <v>27</v>
      </c>
      <c r="N22" s="647">
        <f>H22*L22</f>
        <v>622104.00000000012</v>
      </c>
      <c r="Q22" s="179"/>
    </row>
    <row r="23" spans="2:25" ht="18" customHeight="1" x14ac:dyDescent="0.25">
      <c r="B23" s="149">
        <v>2</v>
      </c>
      <c r="C23" s="270" t="s">
        <v>738</v>
      </c>
      <c r="D23" s="270"/>
      <c r="E23" s="150"/>
      <c r="F23" s="150"/>
      <c r="G23" s="151"/>
      <c r="H23" s="152">
        <f>'QUANTYTI OK'!F19</f>
        <v>17.999600000000004</v>
      </c>
      <c r="I23" s="153" t="s">
        <v>906</v>
      </c>
      <c r="J23" s="153" t="str">
        <f>'AHS-2016'!A56</f>
        <v xml:space="preserve">A. 2.3.1.9 </v>
      </c>
      <c r="K23" s="154" t="s">
        <v>27</v>
      </c>
      <c r="L23" s="1247">
        <f>'AHS-2016'!G68</f>
        <v>71875</v>
      </c>
      <c r="M23" s="154" t="s">
        <v>27</v>
      </c>
      <c r="N23" s="644">
        <f>H23*L23</f>
        <v>1293721.2500000002</v>
      </c>
      <c r="Q23" s="179"/>
    </row>
    <row r="24" spans="2:25" ht="18" customHeight="1" x14ac:dyDescent="0.25">
      <c r="B24" s="149">
        <v>3</v>
      </c>
      <c r="C24" s="270" t="s">
        <v>695</v>
      </c>
      <c r="D24" s="270"/>
      <c r="E24" s="150"/>
      <c r="F24" s="150"/>
      <c r="G24" s="151"/>
      <c r="H24" s="152">
        <f>'QUANTYTI OK'!F20</f>
        <v>2.2444000000000002</v>
      </c>
      <c r="I24" s="153" t="s">
        <v>906</v>
      </c>
      <c r="J24" s="153" t="str">
        <f>'AHS-2016'!A69</f>
        <v>A. 2.3.1.11</v>
      </c>
      <c r="K24" s="154" t="s">
        <v>27</v>
      </c>
      <c r="L24" s="1247">
        <f>'AHS-2016'!G82</f>
        <v>150075</v>
      </c>
      <c r="M24" s="154" t="s">
        <v>27</v>
      </c>
      <c r="N24" s="644">
        <f>H24*L24</f>
        <v>336828.33</v>
      </c>
      <c r="Q24" s="179"/>
    </row>
    <row r="25" spans="2:25" ht="18" customHeight="1" x14ac:dyDescent="0.25">
      <c r="B25" s="157"/>
      <c r="C25" s="161"/>
      <c r="D25" s="158"/>
      <c r="E25" s="159"/>
      <c r="F25" s="159"/>
      <c r="G25" s="159"/>
      <c r="H25" s="160"/>
      <c r="I25" s="161"/>
      <c r="J25" s="162"/>
      <c r="K25" s="163" t="s">
        <v>1003</v>
      </c>
      <c r="L25" s="164"/>
      <c r="M25" s="163" t="s">
        <v>27</v>
      </c>
      <c r="N25" s="645">
        <f>SUM(N22:N24)</f>
        <v>2252653.5800000005</v>
      </c>
      <c r="Q25" s="179"/>
    </row>
    <row r="26" spans="2:25" ht="18" customHeight="1" x14ac:dyDescent="0.25">
      <c r="B26" s="320" t="s">
        <v>701</v>
      </c>
      <c r="C26" s="321" t="s">
        <v>739</v>
      </c>
      <c r="D26" s="159"/>
      <c r="E26" s="159"/>
      <c r="F26" s="159"/>
      <c r="G26" s="159"/>
      <c r="H26" s="160"/>
      <c r="I26" s="161"/>
      <c r="J26" s="161"/>
      <c r="K26" s="159"/>
      <c r="L26" s="322"/>
      <c r="M26" s="159"/>
      <c r="N26" s="646"/>
      <c r="P26" s="156"/>
      <c r="Q26" s="179"/>
    </row>
    <row r="27" spans="2:25" ht="18" customHeight="1" x14ac:dyDescent="0.25">
      <c r="B27" s="318">
        <v>1</v>
      </c>
      <c r="C27" s="270" t="s">
        <v>538</v>
      </c>
      <c r="D27" s="270"/>
      <c r="E27" s="150"/>
      <c r="F27" s="150"/>
      <c r="G27" s="151"/>
      <c r="H27" s="152">
        <f>'QUANTYTI OK'!F29</f>
        <v>12.724500000000001</v>
      </c>
      <c r="I27" s="153" t="s">
        <v>906</v>
      </c>
      <c r="J27" s="153" t="str">
        <f>'AHS-2016'!A97</f>
        <v>A.3.2.1.2.</v>
      </c>
      <c r="K27" s="154" t="s">
        <v>27</v>
      </c>
      <c r="L27" s="155">
        <f>'AHS-2016'!G114</f>
        <v>1190264.375</v>
      </c>
      <c r="M27" s="154" t="s">
        <v>27</v>
      </c>
      <c r="N27" s="644">
        <f>H27*L27</f>
        <v>15145519.039687501</v>
      </c>
      <c r="Q27" s="179"/>
    </row>
    <row r="28" spans="2:25" ht="18" customHeight="1" x14ac:dyDescent="0.25">
      <c r="B28" s="157"/>
      <c r="C28" s="161"/>
      <c r="D28" s="158"/>
      <c r="E28" s="159"/>
      <c r="F28" s="159"/>
      <c r="G28" s="159"/>
      <c r="H28" s="160"/>
      <c r="I28" s="161"/>
      <c r="J28" s="162"/>
      <c r="K28" s="163" t="s">
        <v>1004</v>
      </c>
      <c r="L28" s="164"/>
      <c r="M28" s="163" t="s">
        <v>27</v>
      </c>
      <c r="N28" s="645">
        <f>SUM(N27)</f>
        <v>15145519.039687501</v>
      </c>
      <c r="Q28" s="179"/>
    </row>
    <row r="29" spans="2:25" ht="18" customHeight="1" x14ac:dyDescent="0.25">
      <c r="B29" s="320" t="s">
        <v>709</v>
      </c>
      <c r="C29" s="321" t="s">
        <v>455</v>
      </c>
      <c r="D29" s="159"/>
      <c r="E29" s="159"/>
      <c r="F29" s="159"/>
      <c r="G29" s="159"/>
      <c r="H29" s="160"/>
      <c r="I29" s="161"/>
      <c r="J29" s="161"/>
      <c r="K29" s="159"/>
      <c r="L29" s="322"/>
      <c r="M29" s="159"/>
      <c r="N29" s="646"/>
      <c r="P29" s="156"/>
      <c r="Q29" s="179"/>
    </row>
    <row r="30" spans="2:25" s="1145" customFormat="1" ht="18" customHeight="1" x14ac:dyDescent="0.25">
      <c r="B30" s="1136">
        <v>1</v>
      </c>
      <c r="C30" s="1137" t="s">
        <v>1034</v>
      </c>
      <c r="D30" s="1138"/>
      <c r="E30" s="1138"/>
      <c r="F30" s="1138"/>
      <c r="G30" s="1139"/>
      <c r="H30" s="1140"/>
      <c r="I30" s="1141"/>
      <c r="J30" s="1141"/>
      <c r="K30" s="1142"/>
      <c r="L30" s="1143"/>
      <c r="M30" s="1142"/>
      <c r="N30" s="1144"/>
      <c r="Q30" s="1146"/>
      <c r="R30" s="1146"/>
      <c r="S30" s="1146"/>
      <c r="T30" s="1146"/>
      <c r="U30" s="1146"/>
      <c r="V30" s="1146"/>
      <c r="W30" s="1146"/>
      <c r="X30" s="1146"/>
      <c r="Y30" s="1146"/>
    </row>
    <row r="31" spans="2:25" s="1145" customFormat="1" ht="18" customHeight="1" x14ac:dyDescent="0.25">
      <c r="B31" s="1147"/>
      <c r="C31" s="1148" t="s">
        <v>456</v>
      </c>
      <c r="D31" s="1131" t="s">
        <v>543</v>
      </c>
      <c r="E31" s="1149"/>
      <c r="F31" s="1149"/>
      <c r="G31" s="1150"/>
      <c r="H31" s="1151">
        <f>'BACK UP BESI BETON BACKISTING'!N36</f>
        <v>13.552000000000003</v>
      </c>
      <c r="I31" s="1152" t="s">
        <v>405</v>
      </c>
      <c r="J31" s="1152" t="str">
        <f>'AHS-2016'!$A$318</f>
        <v>B.26.b</v>
      </c>
      <c r="K31" s="1153" t="s">
        <v>27</v>
      </c>
      <c r="L31" s="1154">
        <f>'AHS-2016'!$G$336</f>
        <v>163615.4197</v>
      </c>
      <c r="M31" s="1153" t="s">
        <v>27</v>
      </c>
      <c r="N31" s="1155">
        <f>H31*L31</f>
        <v>2217316.1677744007</v>
      </c>
      <c r="Q31" s="1146"/>
      <c r="R31" s="1146"/>
      <c r="S31" s="1146"/>
      <c r="T31" s="1146"/>
      <c r="U31" s="1146"/>
      <c r="V31" s="1146"/>
      <c r="W31" s="1146"/>
      <c r="X31" s="1146"/>
      <c r="Y31" s="1146"/>
    </row>
    <row r="32" spans="2:25" s="1145" customFormat="1" ht="18" customHeight="1" x14ac:dyDescent="0.25">
      <c r="B32" s="1156"/>
      <c r="C32" s="1148" t="s">
        <v>457</v>
      </c>
      <c r="D32" s="1131" t="s">
        <v>459</v>
      </c>
      <c r="E32" s="1149"/>
      <c r="F32" s="1149"/>
      <c r="G32" s="1150"/>
      <c r="H32" s="1151">
        <f>'BACK UP BESI BETON BACKISTING'!V12</f>
        <v>69.600384000000005</v>
      </c>
      <c r="I32" s="1152" t="s">
        <v>12</v>
      </c>
      <c r="J32" s="1152" t="str">
        <f>'AHS-2016'!$A$300</f>
        <v>B.17.b</v>
      </c>
      <c r="K32" s="1153" t="s">
        <v>27</v>
      </c>
      <c r="L32" s="1154">
        <f>'AHS-2016'!$G$317</f>
        <v>22081.15</v>
      </c>
      <c r="M32" s="1153" t="s">
        <v>27</v>
      </c>
      <c r="N32" s="1155">
        <f>H32*L32</f>
        <v>1536856.5191616002</v>
      </c>
      <c r="Q32" s="1157"/>
      <c r="R32" s="1146"/>
      <c r="S32" s="1146"/>
      <c r="T32" s="1146"/>
      <c r="U32" s="1146"/>
      <c r="V32" s="1146"/>
      <c r="W32" s="1146"/>
      <c r="X32" s="1146"/>
      <c r="Y32" s="1146"/>
    </row>
    <row r="33" spans="2:25" s="1145" customFormat="1" ht="18" customHeight="1" x14ac:dyDescent="0.25">
      <c r="B33" s="1156"/>
      <c r="C33" s="1148" t="s">
        <v>458</v>
      </c>
      <c r="D33" s="1131" t="s">
        <v>460</v>
      </c>
      <c r="E33" s="1149"/>
      <c r="F33" s="1149"/>
      <c r="G33" s="1150"/>
      <c r="H33" s="1151">
        <f>'BACK UP BESI BETON BACKISTING'!G36</f>
        <v>1.3440000000000001</v>
      </c>
      <c r="I33" s="1152" t="s">
        <v>906</v>
      </c>
      <c r="J33" s="1152" t="str">
        <f>'AHS-2016'!$A$241</f>
        <v>B.07.a</v>
      </c>
      <c r="K33" s="1153" t="s">
        <v>27</v>
      </c>
      <c r="L33" s="1154">
        <f>'AHS-2016'!$G$259</f>
        <v>1377141.2916666665</v>
      </c>
      <c r="M33" s="1153" t="s">
        <v>27</v>
      </c>
      <c r="N33" s="1155">
        <f>H33*L33</f>
        <v>1850877.8959999999</v>
      </c>
      <c r="Q33" s="1146"/>
      <c r="R33" s="1146"/>
      <c r="S33" s="1146"/>
      <c r="T33" s="1146"/>
      <c r="U33" s="1146"/>
      <c r="V33" s="1146"/>
      <c r="W33" s="1146"/>
      <c r="X33" s="1146"/>
      <c r="Y33" s="1146"/>
    </row>
    <row r="34" spans="2:25" s="1145" customFormat="1" ht="18" customHeight="1" x14ac:dyDescent="0.25">
      <c r="B34" s="1156">
        <v>2</v>
      </c>
      <c r="C34" s="1137" t="s">
        <v>1035</v>
      </c>
      <c r="D34" s="1138"/>
      <c r="E34" s="1138"/>
      <c r="F34" s="1138"/>
      <c r="G34" s="1139"/>
      <c r="H34" s="1140"/>
      <c r="I34" s="1141"/>
      <c r="J34" s="1141"/>
      <c r="K34" s="1142"/>
      <c r="L34" s="1143"/>
      <c r="M34" s="1142"/>
      <c r="N34" s="1144"/>
      <c r="Q34" s="1146"/>
      <c r="R34" s="1146"/>
      <c r="S34" s="1146"/>
      <c r="T34" s="1146"/>
      <c r="U34" s="1146"/>
      <c r="V34" s="1146"/>
      <c r="W34" s="1146"/>
      <c r="X34" s="1146"/>
      <c r="Y34" s="1146"/>
    </row>
    <row r="35" spans="2:25" s="1145" customFormat="1" ht="18" customHeight="1" x14ac:dyDescent="0.25">
      <c r="B35" s="1156"/>
      <c r="C35" s="1148" t="s">
        <v>456</v>
      </c>
      <c r="D35" s="1131" t="s">
        <v>543</v>
      </c>
      <c r="E35" s="1149"/>
      <c r="F35" s="1149"/>
      <c r="G35" s="1150"/>
      <c r="H35" s="1151">
        <f>'BACK UP BESI BETON BACKISTING'!N35</f>
        <v>2.625</v>
      </c>
      <c r="I35" s="1152" t="s">
        <v>405</v>
      </c>
      <c r="J35" s="1152" t="str">
        <f>'AHS-2016'!$A$318</f>
        <v>B.26.b</v>
      </c>
      <c r="K35" s="1153" t="s">
        <v>27</v>
      </c>
      <c r="L35" s="1154">
        <f>'AHS-2016'!$G$336</f>
        <v>163615.4197</v>
      </c>
      <c r="M35" s="1153" t="s">
        <v>27</v>
      </c>
      <c r="N35" s="1155">
        <f>H35*L35</f>
        <v>429490.47671249998</v>
      </c>
      <c r="Q35" s="1146"/>
      <c r="R35" s="1146"/>
      <c r="S35" s="1146"/>
      <c r="T35" s="1146"/>
      <c r="U35" s="1146"/>
      <c r="V35" s="1146"/>
      <c r="W35" s="1146"/>
      <c r="X35" s="1146"/>
      <c r="Y35" s="1146"/>
    </row>
    <row r="36" spans="2:25" s="1145" customFormat="1" ht="18" customHeight="1" x14ac:dyDescent="0.25">
      <c r="B36" s="1156"/>
      <c r="C36" s="1148" t="s">
        <v>457</v>
      </c>
      <c r="D36" s="1131" t="s">
        <v>459</v>
      </c>
      <c r="E36" s="1149"/>
      <c r="F36" s="1149"/>
      <c r="G36" s="1150"/>
      <c r="H36" s="1151">
        <f>'BACK UP BESI BETON BACKISTING'!V11</f>
        <v>17.477775000000005</v>
      </c>
      <c r="I36" s="1152" t="s">
        <v>461</v>
      </c>
      <c r="J36" s="1152" t="str">
        <f>'AHS-2016'!$A$300</f>
        <v>B.17.b</v>
      </c>
      <c r="K36" s="1153" t="s">
        <v>27</v>
      </c>
      <c r="L36" s="1154">
        <f>'AHS-2016'!$G$317</f>
        <v>22081.15</v>
      </c>
      <c r="M36" s="1153" t="s">
        <v>27</v>
      </c>
      <c r="N36" s="1155">
        <f>H36*L36</f>
        <v>385929.37144125014</v>
      </c>
      <c r="Q36" s="1146"/>
      <c r="R36" s="1146"/>
      <c r="S36" s="1146"/>
      <c r="T36" s="1146"/>
      <c r="U36" s="1146"/>
      <c r="V36" s="1146"/>
      <c r="W36" s="1146"/>
      <c r="X36" s="1146"/>
      <c r="Y36" s="1146"/>
    </row>
    <row r="37" spans="2:25" s="1145" customFormat="1" ht="18" customHeight="1" x14ac:dyDescent="0.25">
      <c r="B37" s="1156"/>
      <c r="C37" s="1148" t="s">
        <v>458</v>
      </c>
      <c r="D37" s="1131" t="s">
        <v>460</v>
      </c>
      <c r="E37" s="1149"/>
      <c r="F37" s="1149"/>
      <c r="G37" s="1150"/>
      <c r="H37" s="1151">
        <f>'BACK UP BESI BETON BACKISTING'!G35</f>
        <v>0.328125</v>
      </c>
      <c r="I37" s="1152" t="s">
        <v>906</v>
      </c>
      <c r="J37" s="1152" t="str">
        <f>'AHS-2016'!$A$241</f>
        <v>B.07.a</v>
      </c>
      <c r="K37" s="1153" t="s">
        <v>27</v>
      </c>
      <c r="L37" s="1154">
        <f>'AHS-2016'!$G$259</f>
        <v>1377141.2916666665</v>
      </c>
      <c r="M37" s="1153" t="s">
        <v>27</v>
      </c>
      <c r="N37" s="1155">
        <f>H37*L37</f>
        <v>451874.48632812494</v>
      </c>
      <c r="Q37" s="1146"/>
      <c r="R37" s="1146"/>
      <c r="S37" s="1146"/>
      <c r="T37" s="1146"/>
      <c r="U37" s="1146"/>
      <c r="V37" s="1146"/>
      <c r="W37" s="1146"/>
      <c r="X37" s="1146"/>
      <c r="Y37" s="1146"/>
    </row>
    <row r="38" spans="2:25" ht="18" customHeight="1" x14ac:dyDescent="0.25">
      <c r="B38" s="149">
        <v>3</v>
      </c>
      <c r="C38" s="270" t="s">
        <v>1068</v>
      </c>
      <c r="D38" s="150"/>
      <c r="E38" s="150"/>
      <c r="F38" s="150"/>
      <c r="G38" s="151"/>
      <c r="H38" s="152"/>
      <c r="I38" s="153"/>
      <c r="J38" s="153"/>
      <c r="K38" s="154"/>
      <c r="L38" s="155"/>
      <c r="M38" s="154"/>
      <c r="N38" s="644"/>
    </row>
    <row r="39" spans="2:25" ht="18" customHeight="1" x14ac:dyDescent="0.25">
      <c r="B39" s="149"/>
      <c r="C39" s="269" t="s">
        <v>456</v>
      </c>
      <c r="D39" s="270" t="s">
        <v>545</v>
      </c>
      <c r="E39" s="150"/>
      <c r="F39" s="150"/>
      <c r="G39" s="151"/>
      <c r="H39" s="152">
        <f>'BACK UP BESI BETON BACKISTING'!N33</f>
        <v>13.125</v>
      </c>
      <c r="I39" s="153" t="s">
        <v>405</v>
      </c>
      <c r="J39" s="153" t="str">
        <f>'AHS-2016'!$A$337</f>
        <v>B.24.c</v>
      </c>
      <c r="K39" s="154" t="s">
        <v>27</v>
      </c>
      <c r="L39" s="155">
        <f>'AHS-2016'!$G$355</f>
        <v>162452.27980000002</v>
      </c>
      <c r="M39" s="154" t="s">
        <v>27</v>
      </c>
      <c r="N39" s="644">
        <f>H39*L39</f>
        <v>2132186.1723750001</v>
      </c>
    </row>
    <row r="40" spans="2:25" ht="18" customHeight="1" x14ac:dyDescent="0.25">
      <c r="B40" s="149"/>
      <c r="C40" s="269" t="s">
        <v>457</v>
      </c>
      <c r="D40" s="270" t="s">
        <v>459</v>
      </c>
      <c r="E40" s="150"/>
      <c r="F40" s="150"/>
      <c r="G40" s="151"/>
      <c r="H40" s="152">
        <f>'BACK UP BESI BETON BACKISTING'!T9</f>
        <v>158.59462500000001</v>
      </c>
      <c r="I40" s="153" t="s">
        <v>12</v>
      </c>
      <c r="J40" s="153" t="str">
        <f>'AHS-2016'!$A$300</f>
        <v>B.17.b</v>
      </c>
      <c r="K40" s="154" t="s">
        <v>27</v>
      </c>
      <c r="L40" s="155">
        <f>$L$32</f>
        <v>22081.15</v>
      </c>
      <c r="M40" s="154" t="s">
        <v>27</v>
      </c>
      <c r="N40" s="644">
        <f>H40*L40</f>
        <v>3501951.7038187506</v>
      </c>
      <c r="Q40" s="280"/>
      <c r="S40" s="181"/>
    </row>
    <row r="41" spans="2:25" ht="18" customHeight="1" x14ac:dyDescent="0.25">
      <c r="B41" s="149"/>
      <c r="C41" s="269" t="s">
        <v>458</v>
      </c>
      <c r="D41" s="270" t="s">
        <v>460</v>
      </c>
      <c r="E41" s="150"/>
      <c r="F41" s="150"/>
      <c r="G41" s="151"/>
      <c r="H41" s="152">
        <f>'BACK UP BESI BETON BACKISTING'!G33</f>
        <v>1.640625</v>
      </c>
      <c r="I41" s="153" t="s">
        <v>906</v>
      </c>
      <c r="J41" s="153" t="str">
        <f>'AHS-2016'!$A$241</f>
        <v>B.07.a</v>
      </c>
      <c r="K41" s="154" t="s">
        <v>27</v>
      </c>
      <c r="L41" s="155">
        <f>'AHS-2016'!$G$259</f>
        <v>1377141.2916666665</v>
      </c>
      <c r="M41" s="154" t="s">
        <v>27</v>
      </c>
      <c r="N41" s="644">
        <f>H41*L41</f>
        <v>2259372.4316406245</v>
      </c>
      <c r="Q41" s="280"/>
      <c r="S41" s="181"/>
    </row>
    <row r="42" spans="2:25" ht="18" customHeight="1" x14ac:dyDescent="0.25">
      <c r="B42" s="149">
        <v>4</v>
      </c>
      <c r="C42" s="270" t="str">
        <f>'BACK UP BESI BETON BACKISTING'!C34</f>
        <v>Kolom 15X15cm Kolom praktis</v>
      </c>
      <c r="D42" s="150"/>
      <c r="E42" s="150"/>
      <c r="F42" s="150"/>
      <c r="G42" s="151"/>
      <c r="H42" s="152"/>
      <c r="I42" s="153"/>
      <c r="J42" s="153"/>
      <c r="K42" s="154"/>
      <c r="L42" s="155"/>
      <c r="M42" s="154"/>
      <c r="N42" s="644"/>
      <c r="Q42" s="280"/>
      <c r="S42" s="181"/>
    </row>
    <row r="43" spans="2:25" ht="18" customHeight="1" x14ac:dyDescent="0.25">
      <c r="B43" s="149"/>
      <c r="C43" s="269" t="s">
        <v>456</v>
      </c>
      <c r="D43" s="270" t="s">
        <v>545</v>
      </c>
      <c r="E43" s="150"/>
      <c r="F43" s="150"/>
      <c r="G43" s="151"/>
      <c r="H43" s="152">
        <f>'BACK UP BESI BETON BACKISTING'!N34</f>
        <v>4.05</v>
      </c>
      <c r="I43" s="153" t="s">
        <v>405</v>
      </c>
      <c r="J43" s="153" t="str">
        <f>'AHS-2016'!$A$337</f>
        <v>B.24.c</v>
      </c>
      <c r="K43" s="154" t="s">
        <v>27</v>
      </c>
      <c r="L43" s="155">
        <f>'AHS-2016'!$G$355</f>
        <v>162452.27980000002</v>
      </c>
      <c r="M43" s="154" t="s">
        <v>27</v>
      </c>
      <c r="N43" s="644">
        <f>H43*L43</f>
        <v>657931.73319000006</v>
      </c>
      <c r="Q43" s="280"/>
      <c r="S43" s="181"/>
    </row>
    <row r="44" spans="2:25" ht="18" customHeight="1" x14ac:dyDescent="0.25">
      <c r="B44" s="149"/>
      <c r="C44" s="269" t="s">
        <v>457</v>
      </c>
      <c r="D44" s="270" t="s">
        <v>459</v>
      </c>
      <c r="E44" s="150"/>
      <c r="F44" s="150"/>
      <c r="G44" s="151"/>
      <c r="H44" s="152">
        <f>'BACK UP BESI BETON BACKISTING'!V10</f>
        <v>70.465949999999992</v>
      </c>
      <c r="I44" s="153" t="s">
        <v>12</v>
      </c>
      <c r="J44" s="153" t="str">
        <f>'AHS-2016'!$A$300</f>
        <v>B.17.b</v>
      </c>
      <c r="K44" s="154" t="s">
        <v>27</v>
      </c>
      <c r="L44" s="155">
        <f>$L$32</f>
        <v>22081.15</v>
      </c>
      <c r="M44" s="154" t="s">
        <v>27</v>
      </c>
      <c r="N44" s="644">
        <f>H44*L44</f>
        <v>1555969.2118424999</v>
      </c>
      <c r="Q44" s="280"/>
      <c r="S44" s="181"/>
    </row>
    <row r="45" spans="2:25" ht="18" customHeight="1" x14ac:dyDescent="0.25">
      <c r="B45" s="149"/>
      <c r="C45" s="269" t="s">
        <v>458</v>
      </c>
      <c r="D45" s="270" t="s">
        <v>460</v>
      </c>
      <c r="E45" s="150"/>
      <c r="F45" s="150"/>
      <c r="G45" s="151"/>
      <c r="H45" s="152">
        <f>'BACK UP BESI BETON BACKISTING'!G34</f>
        <v>0.50624999999999998</v>
      </c>
      <c r="I45" s="153" t="s">
        <v>906</v>
      </c>
      <c r="J45" s="153" t="str">
        <f>'AHS-2016'!$A$241</f>
        <v>B.07.a</v>
      </c>
      <c r="K45" s="154" t="s">
        <v>27</v>
      </c>
      <c r="L45" s="155">
        <f>'AHS-2016'!$G$259</f>
        <v>1377141.2916666665</v>
      </c>
      <c r="M45" s="154" t="s">
        <v>27</v>
      </c>
      <c r="N45" s="644">
        <f>H45*L45</f>
        <v>697177.77890624991</v>
      </c>
      <c r="Q45" s="280"/>
      <c r="S45" s="181"/>
    </row>
    <row r="46" spans="2:25" ht="18" customHeight="1" x14ac:dyDescent="0.25">
      <c r="B46" s="149">
        <v>5</v>
      </c>
      <c r="C46" s="270" t="s">
        <v>1016</v>
      </c>
      <c r="D46" s="150"/>
      <c r="E46" s="150"/>
      <c r="F46" s="150"/>
      <c r="G46" s="151"/>
      <c r="H46" s="152"/>
      <c r="I46" s="153"/>
      <c r="J46" s="153"/>
      <c r="K46" s="154"/>
      <c r="L46" s="155"/>
      <c r="M46" s="154"/>
      <c r="N46" s="644"/>
      <c r="Q46" s="280"/>
      <c r="S46" s="181"/>
    </row>
    <row r="47" spans="2:25" ht="18" customHeight="1" x14ac:dyDescent="0.25">
      <c r="B47" s="149"/>
      <c r="C47" s="269" t="s">
        <v>456</v>
      </c>
      <c r="D47" s="270" t="s">
        <v>544</v>
      </c>
      <c r="E47" s="150"/>
      <c r="F47" s="150"/>
      <c r="G47" s="151"/>
      <c r="H47" s="152">
        <f>'BACK UP BESI BETON BACKISTING'!N40</f>
        <v>12.475000000000001</v>
      </c>
      <c r="I47" s="153" t="s">
        <v>405</v>
      </c>
      <c r="J47" s="153" t="str">
        <f>'AHS-2016'!$A$318</f>
        <v>B.26.b</v>
      </c>
      <c r="K47" s="154" t="s">
        <v>27</v>
      </c>
      <c r="L47" s="155">
        <f>'AHS-2016'!$G$336</f>
        <v>163615.4197</v>
      </c>
      <c r="M47" s="154" t="s">
        <v>27</v>
      </c>
      <c r="N47" s="644">
        <f>H47*L47</f>
        <v>2041102.3607575002</v>
      </c>
    </row>
    <row r="48" spans="2:25" ht="18" customHeight="1" x14ac:dyDescent="0.25">
      <c r="B48" s="149"/>
      <c r="C48" s="269" t="s">
        <v>457</v>
      </c>
      <c r="D48" s="270" t="s">
        <v>459</v>
      </c>
      <c r="E48" s="150"/>
      <c r="F48" s="150"/>
      <c r="G48" s="151"/>
      <c r="H48" s="152">
        <f>'BACK UP BESI BETON BACKISTING'!V16</f>
        <v>694.02117600000008</v>
      </c>
      <c r="I48" s="153" t="s">
        <v>12</v>
      </c>
      <c r="J48" s="153" t="str">
        <f>'AHS-2016'!$A$300</f>
        <v>B.17.b</v>
      </c>
      <c r="K48" s="154" t="s">
        <v>27</v>
      </c>
      <c r="L48" s="155">
        <f>$L$32</f>
        <v>22081.15</v>
      </c>
      <c r="M48" s="154" t="s">
        <v>27</v>
      </c>
      <c r="N48" s="644">
        <f>H48*L48</f>
        <v>15324785.690432403</v>
      </c>
      <c r="Q48" s="280"/>
    </row>
    <row r="49" spans="2:17" ht="18" customHeight="1" x14ac:dyDescent="0.25">
      <c r="B49" s="149"/>
      <c r="C49" s="269" t="s">
        <v>458</v>
      </c>
      <c r="D49" s="270" t="s">
        <v>460</v>
      </c>
      <c r="E49" s="150"/>
      <c r="F49" s="150"/>
      <c r="G49" s="151"/>
      <c r="H49" s="152">
        <f>'BACK UP BESI BETON BACKISTING'!G40</f>
        <v>2.4950000000000006</v>
      </c>
      <c r="I49" s="153" t="s">
        <v>906</v>
      </c>
      <c r="J49" s="153" t="str">
        <f>'AHS-2016'!$A$241</f>
        <v>B.07.a</v>
      </c>
      <c r="K49" s="154" t="s">
        <v>27</v>
      </c>
      <c r="L49" s="155">
        <f>'AHS-2016'!$G$259</f>
        <v>1377141.2916666665</v>
      </c>
      <c r="M49" s="154" t="s">
        <v>27</v>
      </c>
      <c r="N49" s="644">
        <f>H49*L49</f>
        <v>3435967.5227083336</v>
      </c>
      <c r="Q49" s="280"/>
    </row>
    <row r="50" spans="2:17" ht="18" customHeight="1" x14ac:dyDescent="0.25">
      <c r="B50" s="149">
        <v>6</v>
      </c>
      <c r="C50" s="270" t="s">
        <v>1017</v>
      </c>
      <c r="D50" s="150"/>
      <c r="E50" s="150"/>
      <c r="F50" s="150"/>
      <c r="G50" s="151"/>
      <c r="H50" s="152"/>
      <c r="I50" s="153"/>
      <c r="J50" s="153"/>
      <c r="K50" s="154"/>
      <c r="L50" s="155"/>
      <c r="M50" s="154"/>
      <c r="N50" s="644"/>
      <c r="P50" s="156"/>
      <c r="Q50" s="179"/>
    </row>
    <row r="51" spans="2:17" ht="18" customHeight="1" x14ac:dyDescent="0.25">
      <c r="B51" s="149"/>
      <c r="C51" s="269" t="s">
        <v>456</v>
      </c>
      <c r="D51" s="270" t="s">
        <v>546</v>
      </c>
      <c r="E51" s="150"/>
      <c r="F51" s="150"/>
      <c r="G51" s="151"/>
      <c r="H51" s="152">
        <f>'BACK UP BESI BETON BACKISTING'!N44+'BACK UP BESI BETON BACKISTING'!N45</f>
        <v>11.820000000000002</v>
      </c>
      <c r="I51" s="153" t="s">
        <v>405</v>
      </c>
      <c r="J51" s="153" t="str">
        <f>'AHS-2016'!$A$337</f>
        <v>B.24.c</v>
      </c>
      <c r="K51" s="154" t="s">
        <v>27</v>
      </c>
      <c r="L51" s="155">
        <f>'AHS-2016'!$G$355</f>
        <v>162452.27980000002</v>
      </c>
      <c r="M51" s="154" t="s">
        <v>27</v>
      </c>
      <c r="N51" s="644">
        <f>H51*L51</f>
        <v>1920185.9472360006</v>
      </c>
      <c r="P51" s="156"/>
      <c r="Q51" s="179"/>
    </row>
    <row r="52" spans="2:17" ht="18" customHeight="1" x14ac:dyDescent="0.25">
      <c r="B52" s="149"/>
      <c r="C52" s="269" t="s">
        <v>457</v>
      </c>
      <c r="D52" s="270" t="s">
        <v>459</v>
      </c>
      <c r="E52" s="150"/>
      <c r="F52" s="150"/>
      <c r="G52" s="151"/>
      <c r="H52" s="152">
        <f>'BACK UP BESI BETON BACKISTING'!V20</f>
        <v>679.25476800000001</v>
      </c>
      <c r="I52" s="153" t="s">
        <v>12</v>
      </c>
      <c r="J52" s="153" t="str">
        <f>'AHS-2016'!$A$300</f>
        <v>B.17.b</v>
      </c>
      <c r="K52" s="154" t="s">
        <v>27</v>
      </c>
      <c r="L52" s="155">
        <f>$L$32</f>
        <v>22081.15</v>
      </c>
      <c r="M52" s="154" t="s">
        <v>27</v>
      </c>
      <c r="N52" s="644">
        <f>H52*L52</f>
        <v>14998726.4204232</v>
      </c>
      <c r="P52" s="156"/>
      <c r="Q52" s="179"/>
    </row>
    <row r="53" spans="2:17" ht="18" customHeight="1" x14ac:dyDescent="0.25">
      <c r="B53" s="149"/>
      <c r="C53" s="269" t="s">
        <v>458</v>
      </c>
      <c r="D53" s="270" t="s">
        <v>460</v>
      </c>
      <c r="E53" s="150"/>
      <c r="F53" s="150"/>
      <c r="G53" s="151"/>
      <c r="H53" s="152">
        <f>'BACK UP BESI BETON BACKISTING'!G44+'BACK UP BESI BETON BACKISTING'!G45</f>
        <v>1.7730000000000001</v>
      </c>
      <c r="I53" s="153" t="s">
        <v>906</v>
      </c>
      <c r="J53" s="153" t="str">
        <f>'AHS-2016'!$A$241</f>
        <v>B.07.a</v>
      </c>
      <c r="K53" s="154" t="s">
        <v>27</v>
      </c>
      <c r="L53" s="155">
        <f>'AHS-2016'!$G$259</f>
        <v>1377141.2916666665</v>
      </c>
      <c r="M53" s="154" t="s">
        <v>27</v>
      </c>
      <c r="N53" s="644">
        <f>H53*L53</f>
        <v>2441671.510125</v>
      </c>
      <c r="P53" s="156"/>
      <c r="Q53" s="179"/>
    </row>
    <row r="54" spans="2:17" ht="18" customHeight="1" x14ac:dyDescent="0.25">
      <c r="B54" s="149">
        <v>7</v>
      </c>
      <c r="C54" s="629" t="s">
        <v>1069</v>
      </c>
      <c r="D54" s="270"/>
      <c r="E54" s="150"/>
      <c r="F54" s="150"/>
      <c r="G54" s="150"/>
      <c r="H54" s="152"/>
      <c r="I54" s="153"/>
      <c r="J54" s="630"/>
      <c r="K54" s="154"/>
      <c r="L54" s="155"/>
      <c r="M54" s="154"/>
      <c r="N54" s="644"/>
      <c r="P54" s="156"/>
      <c r="Q54" s="179"/>
    </row>
    <row r="55" spans="2:17" ht="18" customHeight="1" x14ac:dyDescent="0.25">
      <c r="B55" s="1305"/>
      <c r="C55" s="1343" t="s">
        <v>456</v>
      </c>
      <c r="D55" s="270" t="s">
        <v>1286</v>
      </c>
      <c r="E55" s="150"/>
      <c r="F55" s="150"/>
      <c r="G55" s="151"/>
      <c r="H55" s="152">
        <f>'BACK UP BESI BETON BACKISTING'!N45</f>
        <v>1.8399999999999999</v>
      </c>
      <c r="I55" s="153" t="s">
        <v>405</v>
      </c>
      <c r="J55" s="153" t="str">
        <f>'AHS-2016'!$A$337</f>
        <v>B.24.c</v>
      </c>
      <c r="K55" s="154" t="s">
        <v>27</v>
      </c>
      <c r="L55" s="155">
        <f>'AHS-2016'!$G$355</f>
        <v>162452.27980000002</v>
      </c>
      <c r="M55" s="154" t="s">
        <v>27</v>
      </c>
      <c r="N55" s="644">
        <f>H55*L55</f>
        <v>298912.19483200001</v>
      </c>
      <c r="P55" s="156"/>
      <c r="Q55" s="179"/>
    </row>
    <row r="56" spans="2:17" ht="18" customHeight="1" x14ac:dyDescent="0.25">
      <c r="B56" s="1305"/>
      <c r="C56" s="1343" t="s">
        <v>457</v>
      </c>
      <c r="D56" s="270" t="s">
        <v>459</v>
      </c>
      <c r="E56" s="150"/>
      <c r="F56" s="150"/>
      <c r="G56" s="151"/>
      <c r="H56" s="152">
        <f>'BACK UP BESI BETON BACKISTING'!V21</f>
        <v>30.173976000000003</v>
      </c>
      <c r="I56" s="153" t="s">
        <v>12</v>
      </c>
      <c r="J56" s="153" t="str">
        <f>'AHS-2016'!$A$300</f>
        <v>B.17.b</v>
      </c>
      <c r="K56" s="154" t="s">
        <v>27</v>
      </c>
      <c r="L56" s="155">
        <f>$L$32</f>
        <v>22081.15</v>
      </c>
      <c r="M56" s="154" t="s">
        <v>27</v>
      </c>
      <c r="N56" s="644">
        <f>H56*L56</f>
        <v>666276.09015240008</v>
      </c>
      <c r="P56" s="156"/>
      <c r="Q56" s="179"/>
    </row>
    <row r="57" spans="2:17" ht="18" customHeight="1" x14ac:dyDescent="0.25">
      <c r="B57" s="308"/>
      <c r="C57" s="1479" t="s">
        <v>458</v>
      </c>
      <c r="D57" s="1387" t="s">
        <v>460</v>
      </c>
      <c r="E57" s="306"/>
      <c r="F57" s="306"/>
      <c r="G57" s="1298"/>
      <c r="H57" s="1301">
        <f>'BACK UP BESI BETON BACKISTING'!G45</f>
        <v>0.27599999999999997</v>
      </c>
      <c r="I57" s="1231" t="s">
        <v>906</v>
      </c>
      <c r="J57" s="1231" t="str">
        <f>'AHS-2016'!$A$241</f>
        <v>B.07.a</v>
      </c>
      <c r="K57" s="1303" t="s">
        <v>27</v>
      </c>
      <c r="L57" s="1389">
        <f>'AHS-2016'!$G$259</f>
        <v>1377141.2916666665</v>
      </c>
      <c r="M57" s="1303" t="s">
        <v>27</v>
      </c>
      <c r="N57" s="1304">
        <f>H57*L57</f>
        <v>380090.99649999989</v>
      </c>
      <c r="P57" s="156"/>
      <c r="Q57" s="179"/>
    </row>
    <row r="58" spans="2:17" ht="18" customHeight="1" x14ac:dyDescent="0.25">
      <c r="B58" s="149">
        <v>8</v>
      </c>
      <c r="C58" s="1303" t="s">
        <v>1285</v>
      </c>
      <c r="D58" s="1387"/>
      <c r="E58" s="306"/>
      <c r="F58" s="306"/>
      <c r="G58" s="306"/>
      <c r="H58" s="1301"/>
      <c r="I58" s="307"/>
      <c r="J58" s="1231"/>
      <c r="K58" s="1303"/>
      <c r="L58" s="1389"/>
      <c r="M58" s="1303"/>
      <c r="N58" s="1304"/>
      <c r="P58" s="156"/>
      <c r="Q58" s="179"/>
    </row>
    <row r="59" spans="2:17" ht="18" customHeight="1" x14ac:dyDescent="0.25">
      <c r="B59" s="1305"/>
      <c r="C59" s="1479" t="s">
        <v>456</v>
      </c>
      <c r="D59" s="1387" t="s">
        <v>1287</v>
      </c>
      <c r="E59" s="306"/>
      <c r="F59" s="306"/>
      <c r="G59" s="306"/>
      <c r="H59" s="1301">
        <f>'QUANTYTI OK'!O173</f>
        <v>2.2200000000000002</v>
      </c>
      <c r="I59" s="153" t="s">
        <v>405</v>
      </c>
      <c r="J59" s="1231" t="s">
        <v>632</v>
      </c>
      <c r="K59" s="154" t="s">
        <v>27</v>
      </c>
      <c r="L59" s="1389">
        <f>L55</f>
        <v>162452.27980000002</v>
      </c>
      <c r="M59" s="154" t="s">
        <v>27</v>
      </c>
      <c r="N59" s="1304">
        <f>H59*L59</f>
        <v>360644.06115600007</v>
      </c>
      <c r="P59" s="156"/>
      <c r="Q59" s="179"/>
    </row>
    <row r="60" spans="2:17" ht="18" customHeight="1" x14ac:dyDescent="0.25">
      <c r="B60" s="1305"/>
      <c r="C60" s="1343" t="s">
        <v>457</v>
      </c>
      <c r="D60" s="270" t="s">
        <v>459</v>
      </c>
      <c r="E60" s="150"/>
      <c r="F60" s="150"/>
      <c r="G60" s="150"/>
      <c r="H60" s="152">
        <f>'QUANTYTI OK'!O176</f>
        <v>29.821999999999999</v>
      </c>
      <c r="I60" s="153" t="s">
        <v>12</v>
      </c>
      <c r="J60" s="153" t="s">
        <v>625</v>
      </c>
      <c r="K60" s="154" t="s">
        <v>27</v>
      </c>
      <c r="L60" s="155">
        <f>L56</f>
        <v>22081.15</v>
      </c>
      <c r="M60" s="154" t="s">
        <v>27</v>
      </c>
      <c r="N60" s="1304">
        <f>H60*L60</f>
        <v>658504.05530000001</v>
      </c>
      <c r="P60" s="156"/>
      <c r="Q60" s="179"/>
    </row>
    <row r="61" spans="2:17" ht="18" customHeight="1" x14ac:dyDescent="0.25">
      <c r="B61" s="308"/>
      <c r="C61" s="1478" t="s">
        <v>458</v>
      </c>
      <c r="D61" s="172" t="s">
        <v>460</v>
      </c>
      <c r="E61" s="171"/>
      <c r="F61" s="171"/>
      <c r="G61" s="171"/>
      <c r="H61" s="623">
        <f>'QUANTYTI OK'!O172</f>
        <v>0.22200000000000003</v>
      </c>
      <c r="I61" s="1231" t="s">
        <v>906</v>
      </c>
      <c r="J61" s="1320" t="s">
        <v>628</v>
      </c>
      <c r="K61" s="1303" t="s">
        <v>27</v>
      </c>
      <c r="L61" s="309">
        <f>L57</f>
        <v>1377141.2916666665</v>
      </c>
      <c r="M61" s="1303" t="s">
        <v>27</v>
      </c>
      <c r="N61" s="1304">
        <f>H61*L61</f>
        <v>305725.36674999999</v>
      </c>
      <c r="P61" s="156"/>
      <c r="Q61" s="179"/>
    </row>
    <row r="62" spans="2:17" ht="18" customHeight="1" x14ac:dyDescent="0.25">
      <c r="B62" s="157"/>
      <c r="C62" s="161"/>
      <c r="D62" s="158"/>
      <c r="E62" s="159"/>
      <c r="F62" s="159"/>
      <c r="G62" s="159"/>
      <c r="H62" s="275"/>
      <c r="I62" s="161"/>
      <c r="J62" s="1323"/>
      <c r="K62" s="163" t="s">
        <v>1005</v>
      </c>
      <c r="L62" s="164"/>
      <c r="M62" s="163" t="s">
        <v>27</v>
      </c>
      <c r="N62" s="645">
        <f>SUM(N30:N61)</f>
        <v>60509526.165563829</v>
      </c>
      <c r="P62" s="156"/>
      <c r="Q62" s="179"/>
    </row>
    <row r="63" spans="2:17" ht="18" customHeight="1" x14ac:dyDescent="0.25">
      <c r="B63" s="320" t="s">
        <v>680</v>
      </c>
      <c r="C63" s="321" t="s">
        <v>477</v>
      </c>
      <c r="D63" s="321"/>
      <c r="E63" s="159"/>
      <c r="F63" s="159"/>
      <c r="G63" s="159"/>
      <c r="H63" s="160"/>
      <c r="I63" s="161"/>
      <c r="J63" s="161"/>
      <c r="K63" s="159"/>
      <c r="L63" s="322"/>
      <c r="M63" s="159"/>
      <c r="N63" s="646"/>
      <c r="P63" s="156"/>
      <c r="Q63" s="179"/>
    </row>
    <row r="64" spans="2:17" ht="18" customHeight="1" x14ac:dyDescent="0.25">
      <c r="B64" s="147">
        <v>1</v>
      </c>
      <c r="C64" s="324" t="s">
        <v>507</v>
      </c>
      <c r="D64" s="328"/>
      <c r="E64" s="145"/>
      <c r="F64" s="145"/>
      <c r="G64" s="146"/>
      <c r="H64" s="325">
        <f>'QUANTYTI OK'!F47</f>
        <v>8.7600000000000016</v>
      </c>
      <c r="I64" s="147" t="s">
        <v>405</v>
      </c>
      <c r="J64" s="326" t="str">
        <f>'AHS-2016'!A203</f>
        <v>A.4.4.1.7.</v>
      </c>
      <c r="K64" s="148" t="s">
        <v>27</v>
      </c>
      <c r="L64" s="273">
        <f>'AHS-2016'!G220</f>
        <v>161296.84375</v>
      </c>
      <c r="M64" s="148" t="s">
        <v>27</v>
      </c>
      <c r="N64" s="643">
        <f t="shared" ref="N64:N69" si="0">H64*L64</f>
        <v>1412960.3512500003</v>
      </c>
      <c r="P64" s="156"/>
      <c r="Q64" s="179"/>
    </row>
    <row r="65" spans="2:17" ht="18" customHeight="1" x14ac:dyDescent="0.25">
      <c r="B65" s="153">
        <v>2</v>
      </c>
      <c r="C65" s="327" t="s">
        <v>467</v>
      </c>
      <c r="D65" s="329"/>
      <c r="E65" s="150"/>
      <c r="F65" s="150"/>
      <c r="G65" s="151"/>
      <c r="H65" s="152">
        <f>'QUANTYTI OK'!F48</f>
        <v>152.21000000000004</v>
      </c>
      <c r="I65" s="153" t="s">
        <v>405</v>
      </c>
      <c r="J65" s="210" t="str">
        <f>'AHS-2016'!A185</f>
        <v>A.4.4.1.9.</v>
      </c>
      <c r="K65" s="154" t="s">
        <v>27</v>
      </c>
      <c r="L65" s="155">
        <f>'AHS-2016'!G202</f>
        <v>147902.9375</v>
      </c>
      <c r="M65" s="154" t="s">
        <v>27</v>
      </c>
      <c r="N65" s="644">
        <f t="shared" si="0"/>
        <v>22512306.116875004</v>
      </c>
      <c r="P65" s="156"/>
      <c r="Q65" s="179"/>
    </row>
    <row r="66" spans="2:17" ht="18" customHeight="1" x14ac:dyDescent="0.25">
      <c r="B66" s="153">
        <v>3</v>
      </c>
      <c r="C66" s="327" t="s">
        <v>1071</v>
      </c>
      <c r="D66" s="329"/>
      <c r="E66" s="150"/>
      <c r="F66" s="150"/>
      <c r="G66" s="151"/>
      <c r="H66" s="152">
        <f>'QUANTYTI OK'!M54</f>
        <v>8.1980000000000022</v>
      </c>
      <c r="I66" s="153" t="s">
        <v>405</v>
      </c>
      <c r="J66" s="210" t="s">
        <v>1079</v>
      </c>
      <c r="K66" s="154" t="s">
        <v>27</v>
      </c>
      <c r="L66" s="155">
        <f>'AHS-2016'!G239</f>
        <v>663880.625</v>
      </c>
      <c r="M66" s="154" t="s">
        <v>27</v>
      </c>
      <c r="N66" s="644">
        <f t="shared" si="0"/>
        <v>5442493.3637500014</v>
      </c>
      <c r="P66" s="156"/>
      <c r="Q66" s="179"/>
    </row>
    <row r="67" spans="2:17" ht="18" customHeight="1" x14ac:dyDescent="0.25">
      <c r="B67" s="153">
        <v>3</v>
      </c>
      <c r="C67" s="327" t="s">
        <v>741</v>
      </c>
      <c r="D67" s="329"/>
      <c r="E67" s="150"/>
      <c r="F67" s="150"/>
      <c r="G67" s="151"/>
      <c r="H67" s="152">
        <f>'QUANTYTI OK'!F66</f>
        <v>17.520000000000003</v>
      </c>
      <c r="I67" s="153" t="s">
        <v>405</v>
      </c>
      <c r="J67" s="210" t="str">
        <f>'AHS-2016'!A133</f>
        <v>A.4.4.2.15.A</v>
      </c>
      <c r="K67" s="154" t="s">
        <v>27</v>
      </c>
      <c r="L67" s="155">
        <f>'AHS-2016'!G149</f>
        <v>120143.95</v>
      </c>
      <c r="M67" s="154" t="s">
        <v>27</v>
      </c>
      <c r="N67" s="644">
        <f t="shared" si="0"/>
        <v>2104922.0040000002</v>
      </c>
      <c r="P67" s="156"/>
      <c r="Q67" s="179"/>
    </row>
    <row r="68" spans="2:17" ht="18" customHeight="1" x14ac:dyDescent="0.25">
      <c r="B68" s="153">
        <v>4</v>
      </c>
      <c r="C68" s="327" t="s">
        <v>528</v>
      </c>
      <c r="D68" s="329"/>
      <c r="E68" s="150"/>
      <c r="F68" s="150"/>
      <c r="G68" s="151"/>
      <c r="H68" s="152">
        <f>'QUANTYTI OK'!F67</f>
        <v>304.42000000000007</v>
      </c>
      <c r="I68" s="153" t="s">
        <v>405</v>
      </c>
      <c r="J68" s="210" t="str">
        <f>'AHS-2016'!A150</f>
        <v>A.4.4.2.15.</v>
      </c>
      <c r="K68" s="154" t="s">
        <v>27</v>
      </c>
      <c r="L68" s="155">
        <f>'AHS-2016'!G166</f>
        <v>116449</v>
      </c>
      <c r="M68" s="154" t="s">
        <v>27</v>
      </c>
      <c r="N68" s="644">
        <f t="shared" si="0"/>
        <v>35449404.580000006</v>
      </c>
      <c r="P68" s="156"/>
      <c r="Q68" s="179"/>
    </row>
    <row r="69" spans="2:17" ht="18" customHeight="1" x14ac:dyDescent="0.25">
      <c r="B69" s="153">
        <v>5</v>
      </c>
      <c r="C69" s="327" t="s">
        <v>540</v>
      </c>
      <c r="D69" s="329"/>
      <c r="E69" s="150"/>
      <c r="F69" s="150"/>
      <c r="G69" s="151"/>
      <c r="H69" s="152">
        <f>'QUANTYTI OK'!F57</f>
        <v>321.94000000000005</v>
      </c>
      <c r="I69" s="153" t="s">
        <v>405</v>
      </c>
      <c r="J69" s="210" t="str">
        <f>'AHS-2016'!A641</f>
        <v>A.4.7.1.10.</v>
      </c>
      <c r="K69" s="154" t="s">
        <v>27</v>
      </c>
      <c r="L69" s="155">
        <f>'AHS-2016'!G658</f>
        <v>35397</v>
      </c>
      <c r="M69" s="154" t="s">
        <v>27</v>
      </c>
      <c r="N69" s="644">
        <f t="shared" si="0"/>
        <v>11395710.180000002</v>
      </c>
      <c r="P69" s="156"/>
      <c r="Q69" s="179"/>
    </row>
    <row r="70" spans="2:17" ht="18" customHeight="1" x14ac:dyDescent="0.25">
      <c r="B70" s="314"/>
      <c r="C70" s="158"/>
      <c r="D70" s="158"/>
      <c r="E70" s="159"/>
      <c r="F70" s="159"/>
      <c r="G70" s="159"/>
      <c r="H70" s="160"/>
      <c r="I70" s="161"/>
      <c r="J70" s="315"/>
      <c r="K70" s="163" t="s">
        <v>1006</v>
      </c>
      <c r="L70" s="164"/>
      <c r="M70" s="163" t="s">
        <v>27</v>
      </c>
      <c r="N70" s="645">
        <f>SUM(N64:N69)</f>
        <v>78317796.59587501</v>
      </c>
      <c r="P70" s="156"/>
      <c r="Q70" s="179"/>
    </row>
    <row r="71" spans="2:17" ht="18" customHeight="1" x14ac:dyDescent="0.25">
      <c r="B71" s="330" t="s">
        <v>718</v>
      </c>
      <c r="C71" s="331" t="s">
        <v>527</v>
      </c>
      <c r="D71" s="331"/>
      <c r="E71" s="295"/>
      <c r="F71" s="295"/>
      <c r="G71" s="295"/>
      <c r="H71" s="332"/>
      <c r="I71" s="333"/>
      <c r="J71" s="334"/>
      <c r="K71" s="174"/>
      <c r="L71" s="1244"/>
      <c r="M71" s="174"/>
      <c r="N71" s="1245"/>
      <c r="P71" s="156"/>
      <c r="Q71" s="179"/>
    </row>
    <row r="72" spans="2:17" ht="31.5" customHeight="1" x14ac:dyDescent="0.25">
      <c r="B72" s="631">
        <v>1</v>
      </c>
      <c r="C72" s="1544" t="str">
        <f>'QUANTYTI OK'!C93:E93</f>
        <v>Membuat 1 m2 pintu besi plat baja tebal 2 mm , rangka baja UNP 5 (50x38x5mm) - P3</v>
      </c>
      <c r="D72" s="1545"/>
      <c r="E72" s="1545"/>
      <c r="F72" s="1545"/>
      <c r="G72" s="1545"/>
      <c r="H72" s="325">
        <f>'QUANTYTI OK'!F93</f>
        <v>13.25</v>
      </c>
      <c r="I72" s="153" t="s">
        <v>405</v>
      </c>
      <c r="J72" s="326" t="str">
        <f>'AHS-2016'!A373</f>
        <v>A.4.6.1.4A</v>
      </c>
      <c r="K72" s="169" t="s">
        <v>27</v>
      </c>
      <c r="L72" s="273">
        <f>'AHS-2016'!G391</f>
        <v>1599209.1666666667</v>
      </c>
      <c r="M72" s="169" t="s">
        <v>27</v>
      </c>
      <c r="N72" s="647">
        <f t="shared" ref="N72:N81" si="1">H72*L72</f>
        <v>21189521.458333336</v>
      </c>
      <c r="P72" s="156"/>
      <c r="Q72" s="179"/>
    </row>
    <row r="73" spans="2:17" ht="18" customHeight="1" x14ac:dyDescent="0.25">
      <c r="B73" s="318">
        <v>2</v>
      </c>
      <c r="C73" s="319" t="s">
        <v>1146</v>
      </c>
      <c r="D73" s="319"/>
      <c r="E73" s="165"/>
      <c r="F73" s="165"/>
      <c r="G73" s="166"/>
      <c r="H73" s="167">
        <f>'QUANTYTI OK'!F70</f>
        <v>3.8879999999999998E-2</v>
      </c>
      <c r="I73" s="153" t="s">
        <v>906</v>
      </c>
      <c r="J73" s="323" t="str">
        <f>'AHS-2016'!A410</f>
        <v>A.4.6.1.2</v>
      </c>
      <c r="K73" s="169" t="s">
        <v>27</v>
      </c>
      <c r="L73" s="365">
        <f>'AHS-2016'!G427</f>
        <v>11586250</v>
      </c>
      <c r="M73" s="169" t="s">
        <v>27</v>
      </c>
      <c r="N73" s="647">
        <f t="shared" si="1"/>
        <v>450473.39999999997</v>
      </c>
      <c r="P73" s="156"/>
      <c r="Q73" s="179"/>
    </row>
    <row r="74" spans="2:17" ht="18" customHeight="1" x14ac:dyDescent="0.25">
      <c r="B74" s="149">
        <v>3</v>
      </c>
      <c r="C74" s="270" t="s">
        <v>1147</v>
      </c>
      <c r="D74" s="270"/>
      <c r="E74" s="150"/>
      <c r="F74" s="150"/>
      <c r="G74" s="151"/>
      <c r="H74" s="152">
        <f>'QUANTYTI OK'!F72</f>
        <v>1.8900000000000001</v>
      </c>
      <c r="I74" s="153" t="s">
        <v>405</v>
      </c>
      <c r="J74" s="210" t="str">
        <f>'AHS-2016'!A393</f>
        <v>A.4.6.1.4</v>
      </c>
      <c r="K74" s="154" t="s">
        <v>27</v>
      </c>
      <c r="L74" s="155">
        <f>'AHS-2016'!G409</f>
        <v>493005</v>
      </c>
      <c r="M74" s="154" t="s">
        <v>27</v>
      </c>
      <c r="N74" s="644">
        <f t="shared" si="1"/>
        <v>931779.45000000007</v>
      </c>
      <c r="P74" s="156"/>
      <c r="Q74" s="179"/>
    </row>
    <row r="75" spans="2:17" ht="18" customHeight="1" x14ac:dyDescent="0.25">
      <c r="B75" s="318">
        <v>4</v>
      </c>
      <c r="C75" s="270" t="s">
        <v>1148</v>
      </c>
      <c r="D75" s="270"/>
      <c r="E75" s="150"/>
      <c r="F75" s="150"/>
      <c r="G75" s="151"/>
      <c r="H75" s="152">
        <f>'QUANTYTI OK'!F74</f>
        <v>5.4179999999999999E-2</v>
      </c>
      <c r="I75" s="153" t="str">
        <f>I73</f>
        <v>M3</v>
      </c>
      <c r="J75" s="210" t="s">
        <v>649</v>
      </c>
      <c r="K75" s="154" t="s">
        <v>27</v>
      </c>
      <c r="L75" s="155">
        <f>L73</f>
        <v>11586250</v>
      </c>
      <c r="M75" s="154" t="s">
        <v>27</v>
      </c>
      <c r="N75" s="644">
        <f t="shared" si="1"/>
        <v>627743.02500000002</v>
      </c>
      <c r="P75" s="156"/>
      <c r="Q75" s="179"/>
    </row>
    <row r="76" spans="2:17" ht="18" customHeight="1" x14ac:dyDescent="0.25">
      <c r="B76" s="149">
        <v>5</v>
      </c>
      <c r="C76" s="270" t="s">
        <v>1149</v>
      </c>
      <c r="D76" s="270"/>
      <c r="E76" s="150"/>
      <c r="F76" s="150"/>
      <c r="G76" s="151"/>
      <c r="H76" s="152">
        <f>'QUANTYTI OK'!F76</f>
        <v>3.5200000000000005</v>
      </c>
      <c r="I76" s="153" t="str">
        <f>I74</f>
        <v>M2</v>
      </c>
      <c r="J76" s="210" t="s">
        <v>648</v>
      </c>
      <c r="K76" s="154" t="s">
        <v>27</v>
      </c>
      <c r="L76" s="155">
        <f>L74</f>
        <v>493005</v>
      </c>
      <c r="M76" s="154" t="s">
        <v>27</v>
      </c>
      <c r="N76" s="644">
        <f t="shared" si="1"/>
        <v>1735377.6000000003</v>
      </c>
      <c r="P76" s="156"/>
      <c r="Q76" s="179"/>
    </row>
    <row r="77" spans="2:17" ht="18" customHeight="1" x14ac:dyDescent="0.25">
      <c r="B77" s="318">
        <v>6</v>
      </c>
      <c r="C77" s="270" t="s">
        <v>1167</v>
      </c>
      <c r="D77" s="270"/>
      <c r="E77" s="150"/>
      <c r="F77" s="150"/>
      <c r="G77" s="151"/>
      <c r="H77" s="152">
        <v>8</v>
      </c>
      <c r="I77" s="153" t="s">
        <v>308</v>
      </c>
      <c r="J77" s="210" t="s">
        <v>1166</v>
      </c>
      <c r="K77" s="154" t="s">
        <v>27</v>
      </c>
      <c r="L77" s="155">
        <f>'AHS-2016'!G482</f>
        <v>83110.5</v>
      </c>
      <c r="M77" s="154" t="s">
        <v>27</v>
      </c>
      <c r="N77" s="644">
        <f t="shared" si="1"/>
        <v>664884</v>
      </c>
      <c r="P77" s="156"/>
      <c r="Q77" s="179"/>
    </row>
    <row r="78" spans="2:17" ht="18" customHeight="1" x14ac:dyDescent="0.25">
      <c r="B78" s="149">
        <v>7</v>
      </c>
      <c r="C78" s="270" t="s">
        <v>1155</v>
      </c>
      <c r="D78" s="270"/>
      <c r="E78" s="150"/>
      <c r="F78" s="150"/>
      <c r="G78" s="151"/>
      <c r="H78" s="152">
        <v>2</v>
      </c>
      <c r="I78" s="153" t="s">
        <v>306</v>
      </c>
      <c r="J78" s="210" t="s">
        <v>1164</v>
      </c>
      <c r="K78" s="154" t="s">
        <v>27</v>
      </c>
      <c r="L78" s="155">
        <f>'AHS-2016'!G464</f>
        <v>266627.5</v>
      </c>
      <c r="M78" s="154" t="s">
        <v>27</v>
      </c>
      <c r="N78" s="644">
        <f t="shared" si="1"/>
        <v>533255</v>
      </c>
      <c r="P78" s="156"/>
      <c r="Q78" s="179"/>
    </row>
    <row r="79" spans="2:17" ht="18" customHeight="1" x14ac:dyDescent="0.25">
      <c r="B79" s="318">
        <v>8</v>
      </c>
      <c r="C79" s="270" t="s">
        <v>1150</v>
      </c>
      <c r="D79" s="270"/>
      <c r="E79" s="150"/>
      <c r="F79" s="150"/>
      <c r="G79" s="151"/>
      <c r="H79" s="152">
        <f>'QUANTYTI OK'!F92</f>
        <v>1</v>
      </c>
      <c r="I79" s="153" t="s">
        <v>484</v>
      </c>
      <c r="J79" s="210" t="s">
        <v>133</v>
      </c>
      <c r="K79" s="154" t="s">
        <v>27</v>
      </c>
      <c r="L79" s="155">
        <f>'UPah &amp; Bahan oke'!H67</f>
        <v>300000</v>
      </c>
      <c r="M79" s="154" t="s">
        <v>27</v>
      </c>
      <c r="N79" s="644">
        <f t="shared" si="1"/>
        <v>300000</v>
      </c>
      <c r="P79" s="156"/>
      <c r="Q79" s="179"/>
    </row>
    <row r="80" spans="2:17" ht="18" customHeight="1" x14ac:dyDescent="0.25">
      <c r="B80" s="149">
        <v>9</v>
      </c>
      <c r="C80" s="329" t="s">
        <v>1159</v>
      </c>
      <c r="D80" s="270"/>
      <c r="E80" s="150"/>
      <c r="F80" s="150"/>
      <c r="G80" s="150"/>
      <c r="H80" s="152">
        <f>'QUANTYTI OK'!F81</f>
        <v>8.0699999999999994E-2</v>
      </c>
      <c r="I80" s="153" t="s">
        <v>7</v>
      </c>
      <c r="J80" s="1307" t="str">
        <f>J75</f>
        <v>A.4.6.1.2</v>
      </c>
      <c r="K80" s="154" t="s">
        <v>27</v>
      </c>
      <c r="L80" s="155">
        <f>L75</f>
        <v>11586250</v>
      </c>
      <c r="M80" s="154" t="s">
        <v>27</v>
      </c>
      <c r="N80" s="644">
        <f t="shared" si="1"/>
        <v>935010.37499999988</v>
      </c>
      <c r="P80" s="156"/>
      <c r="Q80" s="179"/>
    </row>
    <row r="81" spans="2:18" ht="18" customHeight="1" x14ac:dyDescent="0.25">
      <c r="B81" s="318">
        <v>10</v>
      </c>
      <c r="C81" s="172" t="s">
        <v>1160</v>
      </c>
      <c r="D81" s="172"/>
      <c r="E81" s="171"/>
      <c r="F81" s="171"/>
      <c r="G81" s="171"/>
      <c r="H81" s="623">
        <f>'QUANTYTI OK'!F83</f>
        <v>3.1992000000000003</v>
      </c>
      <c r="I81" s="1320" t="s">
        <v>309</v>
      </c>
      <c r="J81" s="757" t="s">
        <v>1162</v>
      </c>
      <c r="K81" s="154" t="s">
        <v>27</v>
      </c>
      <c r="L81" s="309">
        <f>'AHS-2016'!G446</f>
        <v>926095</v>
      </c>
      <c r="M81" s="154" t="s">
        <v>27</v>
      </c>
      <c r="N81" s="644">
        <f t="shared" si="1"/>
        <v>2962763.1240000003</v>
      </c>
      <c r="P81" s="156"/>
      <c r="Q81" s="179"/>
    </row>
    <row r="82" spans="2:18" ht="18" customHeight="1" x14ac:dyDescent="0.25">
      <c r="B82" s="149">
        <v>11</v>
      </c>
      <c r="C82" s="329" t="s">
        <v>1171</v>
      </c>
      <c r="D82" s="270"/>
      <c r="E82" s="150"/>
      <c r="F82" s="150"/>
      <c r="G82" s="151"/>
      <c r="H82" s="1306">
        <v>6</v>
      </c>
      <c r="I82" s="153" t="s">
        <v>308</v>
      </c>
      <c r="J82" s="210" t="s">
        <v>1170</v>
      </c>
      <c r="K82" s="154" t="s">
        <v>27</v>
      </c>
      <c r="L82" s="155">
        <f>'AHS-2016'!G500</f>
        <v>72651.25</v>
      </c>
      <c r="M82" s="154" t="s">
        <v>27</v>
      </c>
      <c r="N82" s="644">
        <f t="shared" ref="N82:N83" si="2">H82*L82</f>
        <v>435907.5</v>
      </c>
      <c r="P82" s="156"/>
      <c r="Q82" s="179"/>
    </row>
    <row r="83" spans="2:18" ht="18" customHeight="1" x14ac:dyDescent="0.25">
      <c r="B83" s="318">
        <v>12</v>
      </c>
      <c r="C83" s="329" t="s">
        <v>1174</v>
      </c>
      <c r="D83" s="1387"/>
      <c r="E83" s="306"/>
      <c r="F83" s="306"/>
      <c r="G83" s="1298"/>
      <c r="H83" s="1388">
        <v>3</v>
      </c>
      <c r="I83" s="153" t="s">
        <v>308</v>
      </c>
      <c r="J83" s="1302" t="s">
        <v>1175</v>
      </c>
      <c r="K83" s="154" t="s">
        <v>27</v>
      </c>
      <c r="L83" s="1389">
        <f>'AHS-2016'!G518</f>
        <v>61352.5</v>
      </c>
      <c r="M83" s="154" t="s">
        <v>27</v>
      </c>
      <c r="N83" s="644">
        <f t="shared" si="2"/>
        <v>184057.5</v>
      </c>
      <c r="P83" s="156"/>
      <c r="Q83" s="179"/>
    </row>
    <row r="84" spans="2:18" ht="18" customHeight="1" x14ac:dyDescent="0.25">
      <c r="B84" s="149">
        <v>13</v>
      </c>
      <c r="C84" s="1295" t="s">
        <v>1254</v>
      </c>
      <c r="D84" s="755"/>
      <c r="E84" s="295"/>
      <c r="F84" s="295"/>
      <c r="G84" s="1296"/>
      <c r="H84" s="332">
        <f>'QUANTYTI OK'!F60</f>
        <v>12.1904</v>
      </c>
      <c r="I84" s="1297" t="s">
        <v>309</v>
      </c>
      <c r="J84" s="1378" t="s">
        <v>1261</v>
      </c>
      <c r="K84" s="154" t="s">
        <v>27</v>
      </c>
      <c r="L84" s="756">
        <f>'AHS-2016'!G680</f>
        <v>50511.024500000007</v>
      </c>
      <c r="M84" s="154" t="s">
        <v>27</v>
      </c>
      <c r="N84" s="644">
        <f t="shared" ref="N84" si="3">H84*L84</f>
        <v>615749.59306480014</v>
      </c>
      <c r="P84" s="156"/>
      <c r="Q84" s="179"/>
    </row>
    <row r="85" spans="2:18" x14ac:dyDescent="0.25">
      <c r="B85" s="157"/>
      <c r="C85" s="158"/>
      <c r="D85" s="158"/>
      <c r="E85" s="159"/>
      <c r="F85" s="159"/>
      <c r="G85" s="159"/>
      <c r="H85" s="160"/>
      <c r="I85" s="161"/>
      <c r="J85" s="162"/>
      <c r="K85" s="163" t="s">
        <v>1007</v>
      </c>
      <c r="L85" s="164"/>
      <c r="M85" s="163" t="s">
        <v>27</v>
      </c>
      <c r="N85" s="645">
        <f>SUM(N72:N84)</f>
        <v>31566522.025398135</v>
      </c>
    </row>
    <row r="86" spans="2:18" ht="18" customHeight="1" x14ac:dyDescent="0.25">
      <c r="B86" s="320" t="s">
        <v>727</v>
      </c>
      <c r="C86" s="321" t="s">
        <v>1064</v>
      </c>
      <c r="D86" s="321"/>
      <c r="E86" s="159"/>
      <c r="F86" s="159"/>
      <c r="G86" s="159"/>
      <c r="H86" s="160"/>
      <c r="I86" s="161"/>
      <c r="J86" s="335"/>
      <c r="K86" s="159"/>
      <c r="L86" s="322"/>
      <c r="M86" s="159"/>
      <c r="N86" s="646"/>
      <c r="Q86" s="280"/>
    </row>
    <row r="87" spans="2:18" ht="18" customHeight="1" x14ac:dyDescent="0.25">
      <c r="B87" s="318">
        <v>1</v>
      </c>
      <c r="C87" s="319" t="str">
        <f>'AHS-2016'!B539</f>
        <v>Memasang 1 m2 penutup atap Zincalume</v>
      </c>
      <c r="D87" s="319"/>
      <c r="E87" s="165"/>
      <c r="F87" s="165"/>
      <c r="G87" s="166"/>
      <c r="H87" s="167">
        <f>'QUANTYTI OK'!F96</f>
        <v>125.95199999999998</v>
      </c>
      <c r="I87" s="153" t="s">
        <v>405</v>
      </c>
      <c r="J87" s="323" t="str">
        <f>'AHS-2016'!A539</f>
        <v>L008.a</v>
      </c>
      <c r="K87" s="169" t="s">
        <v>27</v>
      </c>
      <c r="L87" s="170">
        <f>'AHS-2016'!G552</f>
        <v>98911.5</v>
      </c>
      <c r="M87" s="169" t="s">
        <v>27</v>
      </c>
      <c r="N87" s="647">
        <f t="shared" ref="N87:N94" si="4">H87*L87</f>
        <v>12458101.247999998</v>
      </c>
      <c r="Q87" s="280"/>
      <c r="R87" s="298"/>
    </row>
    <row r="88" spans="2:18" ht="18" customHeight="1" x14ac:dyDescent="0.25">
      <c r="B88" s="318">
        <v>2</v>
      </c>
      <c r="C88" s="319" t="str">
        <f>DIHIT!C440</f>
        <v>Pemasangan 1 m2 rangka atap baja ringan</v>
      </c>
      <c r="D88" s="319"/>
      <c r="E88" s="165"/>
      <c r="F88" s="165"/>
      <c r="G88" s="166"/>
      <c r="H88" s="167">
        <f>'QUANTYTI OK'!F103</f>
        <v>125.95199999999998</v>
      </c>
      <c r="I88" s="153" t="s">
        <v>405</v>
      </c>
      <c r="J88" s="323" t="str">
        <f>DIHIT!B440</f>
        <v>Anls. Hitung</v>
      </c>
      <c r="K88" s="169" t="s">
        <v>27</v>
      </c>
      <c r="L88" s="170">
        <f>DIHIT!H458</f>
        <v>264842.7</v>
      </c>
      <c r="M88" s="169" t="s">
        <v>27</v>
      </c>
      <c r="N88" s="647">
        <f t="shared" si="4"/>
        <v>33357467.750399996</v>
      </c>
      <c r="Q88" s="280"/>
      <c r="R88" s="298"/>
    </row>
    <row r="89" spans="2:18" ht="18" customHeight="1" x14ac:dyDescent="0.25">
      <c r="B89" s="149">
        <v>3</v>
      </c>
      <c r="C89" s="270" t="str">
        <f>'QUANTYTI OK'!C104</f>
        <v>Pemasangan Rabung</v>
      </c>
      <c r="D89" s="270"/>
      <c r="E89" s="150"/>
      <c r="F89" s="150"/>
      <c r="G89" s="151"/>
      <c r="H89" s="152">
        <f>'QUANTYTI OK'!F104</f>
        <v>28.4</v>
      </c>
      <c r="I89" s="153" t="s">
        <v>405</v>
      </c>
      <c r="J89" s="210" t="str">
        <f>'AHS-2016'!A553</f>
        <v>L017.a</v>
      </c>
      <c r="K89" s="154" t="s">
        <v>27</v>
      </c>
      <c r="L89" s="155">
        <f>'AHS-2016'!G568</f>
        <v>104524.65</v>
      </c>
      <c r="M89" s="154" t="s">
        <v>27</v>
      </c>
      <c r="N89" s="644">
        <f t="shared" si="4"/>
        <v>2968500.0599999996</v>
      </c>
      <c r="R89" s="297"/>
    </row>
    <row r="90" spans="2:18" ht="18" customHeight="1" x14ac:dyDescent="0.25">
      <c r="B90" s="1300">
        <v>4</v>
      </c>
      <c r="C90" s="172" t="str">
        <f>'QUANTYTI OK'!C105</f>
        <v>Memasang 1 m1 lisplank Kalsi uk. 6 mm x 20 cm</v>
      </c>
      <c r="D90" s="172"/>
      <c r="E90" s="171"/>
      <c r="F90" s="171"/>
      <c r="G90" s="171"/>
      <c r="H90" s="1301">
        <f>'QUANTYTI OK'!F105</f>
        <v>47.2</v>
      </c>
      <c r="I90" s="1231" t="s">
        <v>109</v>
      </c>
      <c r="J90" s="1302" t="str">
        <f>'AHS-2016'!A570</f>
        <v>K022</v>
      </c>
      <c r="K90" s="1303" t="s">
        <v>27</v>
      </c>
      <c r="L90" s="309">
        <f>'AHS-2016'!G585</f>
        <v>20918.5</v>
      </c>
      <c r="M90" s="1303" t="s">
        <v>27</v>
      </c>
      <c r="N90" s="1304">
        <f t="shared" si="4"/>
        <v>987353.20000000007</v>
      </c>
      <c r="R90" s="297"/>
    </row>
    <row r="91" spans="2:18" ht="18" customHeight="1" x14ac:dyDescent="0.25">
      <c r="B91" s="1305">
        <v>5</v>
      </c>
      <c r="C91" s="329" t="s">
        <v>1082</v>
      </c>
      <c r="D91" s="270"/>
      <c r="E91" s="150"/>
      <c r="F91" s="150"/>
      <c r="G91" s="151"/>
      <c r="H91" s="1306">
        <f>'QUANTYTI OK'!O107</f>
        <v>27</v>
      </c>
      <c r="I91" s="153" t="s">
        <v>405</v>
      </c>
      <c r="J91" s="1307" t="s">
        <v>770</v>
      </c>
      <c r="K91" s="1303" t="s">
        <v>27</v>
      </c>
      <c r="L91" s="155">
        <f>'AHS-2016'!G952</f>
        <v>744527.82499999995</v>
      </c>
      <c r="M91" s="1303" t="s">
        <v>27</v>
      </c>
      <c r="N91" s="644">
        <f t="shared" si="4"/>
        <v>20102251.274999999</v>
      </c>
      <c r="R91" s="297"/>
    </row>
    <row r="92" spans="2:18" ht="18" customHeight="1" x14ac:dyDescent="0.25">
      <c r="B92" s="308">
        <v>6</v>
      </c>
      <c r="C92" s="1329" t="s">
        <v>1065</v>
      </c>
      <c r="D92" s="172"/>
      <c r="E92" s="171"/>
      <c r="F92" s="171"/>
      <c r="G92" s="1330"/>
      <c r="H92" s="1293">
        <f>'QUANTYTI OK'!O108</f>
        <v>21.6</v>
      </c>
      <c r="I92" s="153" t="s">
        <v>405</v>
      </c>
      <c r="J92" s="1307" t="s">
        <v>770</v>
      </c>
      <c r="K92" s="1303" t="s">
        <v>27</v>
      </c>
      <c r="L92" s="309">
        <f>'AHS-2016'!G960</f>
        <v>1804956.9987500003</v>
      </c>
      <c r="M92" s="1303" t="s">
        <v>27</v>
      </c>
      <c r="N92" s="648">
        <f t="shared" si="4"/>
        <v>38987071.173000008</v>
      </c>
      <c r="R92" s="297"/>
    </row>
    <row r="93" spans="2:18" ht="18" customHeight="1" x14ac:dyDescent="0.25">
      <c r="B93" s="1305">
        <v>7</v>
      </c>
      <c r="C93" s="329" t="s">
        <v>1066</v>
      </c>
      <c r="D93" s="270"/>
      <c r="E93" s="150"/>
      <c r="F93" s="150"/>
      <c r="G93" s="151"/>
      <c r="H93" s="1306">
        <f>'QUANTYTI OK'!F109</f>
        <v>120.08000000000003</v>
      </c>
      <c r="I93" s="153" t="s">
        <v>405</v>
      </c>
      <c r="J93" s="1307" t="s">
        <v>1226</v>
      </c>
      <c r="K93" s="1303" t="s">
        <v>27</v>
      </c>
      <c r="L93" s="155">
        <f>'AHS-2016'!G981</f>
        <v>184805</v>
      </c>
      <c r="M93" s="1303" t="s">
        <v>27</v>
      </c>
      <c r="N93" s="644">
        <f t="shared" si="4"/>
        <v>22191384.400000006</v>
      </c>
      <c r="R93" s="297"/>
    </row>
    <row r="94" spans="2:18" ht="18" customHeight="1" x14ac:dyDescent="0.25">
      <c r="B94" s="1305">
        <v>8</v>
      </c>
      <c r="C94" s="329" t="s">
        <v>1067</v>
      </c>
      <c r="D94" s="270"/>
      <c r="E94" s="150"/>
      <c r="F94" s="150"/>
      <c r="G94" s="151"/>
      <c r="H94" s="1306">
        <f>'QUANTYTI OK'!O117</f>
        <v>120.08000000000003</v>
      </c>
      <c r="I94" s="153" t="s">
        <v>405</v>
      </c>
      <c r="J94" s="1307" t="s">
        <v>1228</v>
      </c>
      <c r="K94" s="1303" t="s">
        <v>27</v>
      </c>
      <c r="L94" s="155">
        <f>'AHS-2016'!G1002</f>
        <v>218856.5</v>
      </c>
      <c r="M94" s="1303" t="s">
        <v>27</v>
      </c>
      <c r="N94" s="644">
        <f t="shared" si="4"/>
        <v>26280288.520000007</v>
      </c>
      <c r="R94" s="297"/>
    </row>
    <row r="95" spans="2:18" ht="18" customHeight="1" x14ac:dyDescent="0.25">
      <c r="B95" s="157"/>
      <c r="C95" s="158"/>
      <c r="D95" s="158"/>
      <c r="E95" s="159"/>
      <c r="F95" s="159"/>
      <c r="G95" s="159"/>
      <c r="H95" s="160"/>
      <c r="I95" s="161"/>
      <c r="J95" s="162"/>
      <c r="K95" s="163" t="s">
        <v>1008</v>
      </c>
      <c r="L95" s="164"/>
      <c r="M95" s="163" t="s">
        <v>27</v>
      </c>
      <c r="N95" s="645">
        <f>SUM(N87:N94)</f>
        <v>157332417.62640002</v>
      </c>
      <c r="Q95" s="211"/>
    </row>
    <row r="96" spans="2:18" ht="18" customHeight="1" x14ac:dyDescent="0.25">
      <c r="B96" s="320" t="s">
        <v>730</v>
      </c>
      <c r="C96" s="321" t="s">
        <v>1273</v>
      </c>
      <c r="D96" s="158"/>
      <c r="E96" s="159"/>
      <c r="F96" s="159"/>
      <c r="G96" s="159"/>
      <c r="H96" s="160"/>
      <c r="I96" s="161"/>
      <c r="J96" s="335"/>
      <c r="K96" s="159"/>
      <c r="L96" s="322"/>
      <c r="M96" s="159"/>
      <c r="N96" s="646"/>
      <c r="Q96" s="211"/>
    </row>
    <row r="97" spans="2:17" ht="18" customHeight="1" x14ac:dyDescent="0.25">
      <c r="B97" s="336">
        <v>1</v>
      </c>
      <c r="C97" s="319" t="str">
        <f>'AHS-2016'!C809</f>
        <v>Memasang 1 m'  PVC tipe AW ø 3"</v>
      </c>
      <c r="D97" s="319"/>
      <c r="E97" s="165"/>
      <c r="F97" s="165"/>
      <c r="G97" s="166"/>
      <c r="H97" s="1457">
        <v>20</v>
      </c>
      <c r="I97" s="153" t="s">
        <v>109</v>
      </c>
      <c r="J97" s="762" t="str">
        <f>'AHS-2016'!A809</f>
        <v>O 016.a</v>
      </c>
      <c r="K97" s="154" t="s">
        <v>27</v>
      </c>
      <c r="L97" s="170">
        <f>'AHS-2016'!G825</f>
        <v>87604.125</v>
      </c>
      <c r="M97" s="154" t="s">
        <v>27</v>
      </c>
      <c r="N97" s="644">
        <f t="shared" ref="N97:N110" si="5">L97*H97</f>
        <v>1752082.5</v>
      </c>
      <c r="Q97" s="211"/>
    </row>
    <row r="98" spans="2:17" ht="18" customHeight="1" x14ac:dyDescent="0.25">
      <c r="B98" s="284">
        <v>2</v>
      </c>
      <c r="C98" s="270" t="str">
        <f>'AHS-2016'!C792</f>
        <v>Memasang 1 m'  PVC tipe AW ø 3/4"</v>
      </c>
      <c r="D98" s="270"/>
      <c r="E98" s="150"/>
      <c r="F98" s="150"/>
      <c r="G98" s="151"/>
      <c r="H98" s="1456">
        <f>'QUANTYTI OK'!F152</f>
        <v>10</v>
      </c>
      <c r="I98" s="760" t="s">
        <v>109</v>
      </c>
      <c r="J98" s="760" t="str">
        <f>'AHS-2016'!A792</f>
        <v>O 013</v>
      </c>
      <c r="K98" s="154" t="s">
        <v>27</v>
      </c>
      <c r="L98" s="155">
        <f>'AHS-2016'!G808</f>
        <v>50428.9375</v>
      </c>
      <c r="M98" s="154" t="s">
        <v>27</v>
      </c>
      <c r="N98" s="644">
        <f t="shared" si="5"/>
        <v>504289.375</v>
      </c>
      <c r="Q98" s="211"/>
    </row>
    <row r="99" spans="2:17" ht="18" customHeight="1" x14ac:dyDescent="0.25">
      <c r="B99" s="284">
        <v>3</v>
      </c>
      <c r="C99" s="270" t="str">
        <f>'AHS-2016'!C826</f>
        <v>Memasang 1 buah Bak KM fiber Sudut Besar</v>
      </c>
      <c r="D99" s="270"/>
      <c r="E99" s="150"/>
      <c r="F99" s="150"/>
      <c r="G99" s="151"/>
      <c r="H99" s="1456">
        <f>'QUANTYTI OK'!F150</f>
        <v>1</v>
      </c>
      <c r="I99" s="760" t="s">
        <v>58</v>
      </c>
      <c r="J99" s="760" t="str">
        <f>'AHS-2016'!A826</f>
        <v>O 002a</v>
      </c>
      <c r="K99" s="154" t="s">
        <v>27</v>
      </c>
      <c r="L99" s="155">
        <f>'AHS-2016'!G841</f>
        <v>402640.875</v>
      </c>
      <c r="M99" s="154" t="s">
        <v>27</v>
      </c>
      <c r="N99" s="644">
        <f t="shared" si="5"/>
        <v>402640.875</v>
      </c>
      <c r="Q99" s="211"/>
    </row>
    <row r="100" spans="2:17" ht="18" customHeight="1" x14ac:dyDescent="0.25">
      <c r="B100" s="284">
        <v>4</v>
      </c>
      <c r="C100" s="270" t="str">
        <f>'AHS-2016'!C682</f>
        <v>Pemasangan 1 buah closet jongkok porselen</v>
      </c>
      <c r="D100" s="270"/>
      <c r="E100" s="150"/>
      <c r="F100" s="150"/>
      <c r="G100" s="151"/>
      <c r="H100" s="1456">
        <v>1</v>
      </c>
      <c r="I100" s="760" t="s">
        <v>58</v>
      </c>
      <c r="J100" s="760" t="str">
        <f>'AHS-2016'!A682</f>
        <v>A.5.1.1.2</v>
      </c>
      <c r="K100" s="154" t="s">
        <v>27</v>
      </c>
      <c r="L100" s="155">
        <f>'AHS-2016'!G699</f>
        <v>978621.25</v>
      </c>
      <c r="M100" s="154" t="s">
        <v>27</v>
      </c>
      <c r="N100" s="644">
        <f t="shared" si="5"/>
        <v>978621.25</v>
      </c>
      <c r="Q100" s="211"/>
    </row>
    <row r="101" spans="2:17" ht="18" customHeight="1" x14ac:dyDescent="0.25">
      <c r="B101" s="284">
        <v>5</v>
      </c>
      <c r="C101" s="270" t="s">
        <v>488</v>
      </c>
      <c r="D101" s="270"/>
      <c r="E101" s="150"/>
      <c r="F101" s="150"/>
      <c r="G101" s="151"/>
      <c r="H101" s="1456">
        <v>1</v>
      </c>
      <c r="I101" s="760" t="s">
        <v>58</v>
      </c>
      <c r="J101" s="760" t="str">
        <f>'AHS-2016'!A739</f>
        <v>A.5.1.1.14</v>
      </c>
      <c r="K101" s="154" t="s">
        <v>27</v>
      </c>
      <c r="L101" s="155">
        <f>'AHS-2016'!G754</f>
        <v>90677.5</v>
      </c>
      <c r="M101" s="154" t="s">
        <v>27</v>
      </c>
      <c r="N101" s="644">
        <f t="shared" si="5"/>
        <v>90677.5</v>
      </c>
      <c r="Q101" s="211"/>
    </row>
    <row r="102" spans="2:17" ht="18" customHeight="1" x14ac:dyDescent="0.25">
      <c r="B102" s="284">
        <v>6</v>
      </c>
      <c r="C102" s="270" t="s">
        <v>1212</v>
      </c>
      <c r="D102" s="270"/>
      <c r="E102" s="150"/>
      <c r="F102" s="150"/>
      <c r="G102" s="150"/>
      <c r="H102" s="1456">
        <v>1</v>
      </c>
      <c r="I102" s="760" t="s">
        <v>58</v>
      </c>
      <c r="J102" s="760" t="s">
        <v>1213</v>
      </c>
      <c r="K102" s="154" t="s">
        <v>27</v>
      </c>
      <c r="L102" s="155">
        <f>'AHS-2016'!G790</f>
        <v>1140282.5</v>
      </c>
      <c r="M102" s="154" t="s">
        <v>27</v>
      </c>
      <c r="N102" s="644">
        <f t="shared" ref="N102" si="6">L102*H102</f>
        <v>1140282.5</v>
      </c>
      <c r="Q102" s="211"/>
    </row>
    <row r="103" spans="2:17" ht="18" customHeight="1" x14ac:dyDescent="0.25">
      <c r="B103" s="284">
        <v>7</v>
      </c>
      <c r="C103" s="270" t="str">
        <f>'AHS-2016'!C842</f>
        <v>Memasang 1 bh kran air ø 1/2"</v>
      </c>
      <c r="D103" s="270"/>
      <c r="E103" s="150"/>
      <c r="F103" s="150"/>
      <c r="G103" s="150"/>
      <c r="H103" s="1456">
        <v>1</v>
      </c>
      <c r="I103" s="760" t="s">
        <v>58</v>
      </c>
      <c r="J103" s="760" t="str">
        <f>'AHS-2016'!A842</f>
        <v>O 018</v>
      </c>
      <c r="K103" s="154" t="s">
        <v>27</v>
      </c>
      <c r="L103" s="155">
        <f>'AHS-2016'!G858</f>
        <v>48515.625</v>
      </c>
      <c r="M103" s="154" t="s">
        <v>27</v>
      </c>
      <c r="N103" s="644">
        <f t="shared" si="5"/>
        <v>48515.625</v>
      </c>
      <c r="Q103" s="211"/>
    </row>
    <row r="104" spans="2:17" ht="18" customHeight="1" x14ac:dyDescent="0.25">
      <c r="B104" s="284">
        <v>8</v>
      </c>
      <c r="C104" s="270" t="s">
        <v>1284</v>
      </c>
      <c r="D104" s="270"/>
      <c r="E104" s="150"/>
      <c r="F104" s="150"/>
      <c r="G104" s="150"/>
      <c r="H104" s="1456">
        <v>1</v>
      </c>
      <c r="I104" s="760" t="s">
        <v>58</v>
      </c>
      <c r="J104" s="760" t="s">
        <v>1143</v>
      </c>
      <c r="K104" s="154" t="s">
        <v>27</v>
      </c>
      <c r="L104" s="155">
        <v>175000</v>
      </c>
      <c r="M104" s="154" t="s">
        <v>27</v>
      </c>
      <c r="N104" s="644">
        <f t="shared" si="5"/>
        <v>175000</v>
      </c>
      <c r="Q104" s="211"/>
    </row>
    <row r="105" spans="2:17" ht="18" customHeight="1" x14ac:dyDescent="0.25">
      <c r="B105" s="284">
        <f>B104+1</f>
        <v>9</v>
      </c>
      <c r="C105" s="270" t="s">
        <v>896</v>
      </c>
      <c r="D105" s="270"/>
      <c r="E105" s="150"/>
      <c r="F105" s="150"/>
      <c r="G105" s="150"/>
      <c r="H105" s="1456">
        <v>1</v>
      </c>
      <c r="I105" s="760" t="s">
        <v>58</v>
      </c>
      <c r="J105" s="760" t="s">
        <v>133</v>
      </c>
      <c r="K105" s="154" t="s">
        <v>27</v>
      </c>
      <c r="L105" s="155">
        <v>4500000</v>
      </c>
      <c r="M105" s="154" t="s">
        <v>27</v>
      </c>
      <c r="N105" s="644">
        <f t="shared" si="5"/>
        <v>4500000</v>
      </c>
      <c r="Q105" s="211"/>
    </row>
    <row r="106" spans="2:17" ht="18" customHeight="1" x14ac:dyDescent="0.25">
      <c r="B106" s="284">
        <f t="shared" ref="B106:B112" si="7">B105+1</f>
        <v>10</v>
      </c>
      <c r="C106" s="270" t="s">
        <v>1274</v>
      </c>
      <c r="D106" s="270"/>
      <c r="E106" s="150"/>
      <c r="F106" s="150"/>
      <c r="G106" s="150"/>
      <c r="H106" s="1456">
        <v>50</v>
      </c>
      <c r="I106" s="761" t="s">
        <v>109</v>
      </c>
      <c r="J106" s="760" t="s">
        <v>1143</v>
      </c>
      <c r="K106" s="154" t="s">
        <v>27</v>
      </c>
      <c r="L106" s="155">
        <v>75000</v>
      </c>
      <c r="M106" s="154" t="s">
        <v>27</v>
      </c>
      <c r="N106" s="644">
        <f t="shared" ref="N106" si="8">L106*H106</f>
        <v>3750000</v>
      </c>
      <c r="Q106" s="211"/>
    </row>
    <row r="107" spans="2:17" ht="18" customHeight="1" x14ac:dyDescent="0.25">
      <c r="B107" s="284">
        <f t="shared" si="7"/>
        <v>11</v>
      </c>
      <c r="C107" s="329" t="s">
        <v>639</v>
      </c>
      <c r="D107" s="270"/>
      <c r="E107" s="150"/>
      <c r="F107" s="150"/>
      <c r="G107" s="150"/>
      <c r="H107" s="1456">
        <f>'QUANTYTI OK'!F157</f>
        <v>13</v>
      </c>
      <c r="I107" s="761" t="s">
        <v>539</v>
      </c>
      <c r="J107" s="760" t="str">
        <f>DIHIT!B337</f>
        <v>Dihitung</v>
      </c>
      <c r="K107" s="154" t="s">
        <v>27</v>
      </c>
      <c r="L107" s="155">
        <f>DIHIT!H354</f>
        <v>257715</v>
      </c>
      <c r="M107" s="154" t="s">
        <v>27</v>
      </c>
      <c r="N107" s="644">
        <f t="shared" si="5"/>
        <v>3350295</v>
      </c>
      <c r="P107" s="156"/>
      <c r="Q107" s="211"/>
    </row>
    <row r="108" spans="2:17" ht="18" customHeight="1" x14ac:dyDescent="0.25">
      <c r="B108" s="284">
        <f t="shared" si="7"/>
        <v>12</v>
      </c>
      <c r="C108" s="270" t="str">
        <f>DIHIT!C420</f>
        <v>Memasang MCB Box 2 group + MCB 1P 24 2 bh</v>
      </c>
      <c r="D108" s="270"/>
      <c r="E108" s="150"/>
      <c r="F108" s="150"/>
      <c r="G108" s="150"/>
      <c r="H108" s="1456">
        <f>'QUANTYTI OK'!F158</f>
        <v>1</v>
      </c>
      <c r="I108" s="761" t="s">
        <v>308</v>
      </c>
      <c r="J108" s="760" t="str">
        <f>DIHIT!B420</f>
        <v>Dihitung</v>
      </c>
      <c r="K108" s="154" t="s">
        <v>27</v>
      </c>
      <c r="L108" s="155">
        <f>DIHIT!H437</f>
        <v>159476.25</v>
      </c>
      <c r="M108" s="154" t="s">
        <v>27</v>
      </c>
      <c r="N108" s="644">
        <f t="shared" si="5"/>
        <v>159476.25</v>
      </c>
      <c r="P108" s="156"/>
      <c r="Q108" s="211"/>
    </row>
    <row r="109" spans="2:17" ht="18" customHeight="1" x14ac:dyDescent="0.25">
      <c r="B109" s="284">
        <f t="shared" si="7"/>
        <v>13</v>
      </c>
      <c r="C109" s="270" t="str">
        <f>'QUANTYTI OK'!C159:E159</f>
        <v>Memasang 1 Bh Stop Kontak, 1 Phase, 10 A, 250 VAC</v>
      </c>
      <c r="D109" s="270"/>
      <c r="E109" s="150"/>
      <c r="F109" s="150"/>
      <c r="G109" s="150"/>
      <c r="H109" s="1456">
        <v>4</v>
      </c>
      <c r="I109" s="760" t="s">
        <v>58</v>
      </c>
      <c r="J109" s="763" t="str">
        <f>'AHS-2016'!A701</f>
        <v>P 004</v>
      </c>
      <c r="K109" s="154" t="s">
        <v>27</v>
      </c>
      <c r="L109" s="155">
        <f>'AHS-2016'!G719</f>
        <v>236072</v>
      </c>
      <c r="M109" s="154" t="s">
        <v>27</v>
      </c>
      <c r="N109" s="644">
        <f t="shared" si="5"/>
        <v>944288</v>
      </c>
      <c r="P109" s="156"/>
      <c r="Q109" s="211"/>
    </row>
    <row r="110" spans="2:17" ht="18" customHeight="1" x14ac:dyDescent="0.25">
      <c r="B110" s="284">
        <f t="shared" si="7"/>
        <v>14</v>
      </c>
      <c r="C110" s="1387" t="str">
        <f>'QUANTYTI OK'!C160:E160</f>
        <v>Memasang 1 Bh Lampu SL 18 Watt</v>
      </c>
      <c r="D110" s="1387"/>
      <c r="E110" s="306"/>
      <c r="F110" s="306"/>
      <c r="G110" s="306"/>
      <c r="H110" s="1458">
        <v>7</v>
      </c>
      <c r="I110" s="1452" t="s">
        <v>58</v>
      </c>
      <c r="J110" s="1453" t="str">
        <f>DIHIT!B380</f>
        <v>Dihitung</v>
      </c>
      <c r="K110" s="1303" t="s">
        <v>27</v>
      </c>
      <c r="L110" s="1389">
        <f>DIHIT!H396</f>
        <v>30417.5</v>
      </c>
      <c r="M110" s="1303" t="s">
        <v>27</v>
      </c>
      <c r="N110" s="1304">
        <f t="shared" si="5"/>
        <v>212922.5</v>
      </c>
      <c r="P110" s="156"/>
      <c r="Q110" s="211"/>
    </row>
    <row r="111" spans="2:17" ht="18" customHeight="1" x14ac:dyDescent="0.25">
      <c r="B111" s="284">
        <f t="shared" si="7"/>
        <v>15</v>
      </c>
      <c r="C111" s="1314" t="s">
        <v>1280</v>
      </c>
      <c r="D111" s="1387"/>
      <c r="E111" s="306"/>
      <c r="F111" s="306"/>
      <c r="G111" s="306"/>
      <c r="H111" s="1477">
        <v>1</v>
      </c>
      <c r="I111" s="1452" t="s">
        <v>58</v>
      </c>
      <c r="J111" s="760" t="s">
        <v>1143</v>
      </c>
      <c r="K111" s="1303" t="s">
        <v>27</v>
      </c>
      <c r="L111" s="1389">
        <v>45000</v>
      </c>
      <c r="M111" s="1303" t="s">
        <v>27</v>
      </c>
      <c r="N111" s="1304">
        <f t="shared" ref="N111:N112" si="9">L111*H111</f>
        <v>45000</v>
      </c>
      <c r="P111" s="156"/>
      <c r="Q111" s="211"/>
    </row>
    <row r="112" spans="2:17" ht="18" customHeight="1" x14ac:dyDescent="0.25">
      <c r="B112" s="284">
        <f t="shared" si="7"/>
        <v>16</v>
      </c>
      <c r="C112" s="329" t="s">
        <v>1281</v>
      </c>
      <c r="D112" s="1387"/>
      <c r="E112" s="306"/>
      <c r="F112" s="306"/>
      <c r="G112" s="306"/>
      <c r="H112" s="1477">
        <v>2</v>
      </c>
      <c r="I112" s="1452" t="s">
        <v>58</v>
      </c>
      <c r="J112" s="760" t="s">
        <v>1143</v>
      </c>
      <c r="K112" s="1303" t="s">
        <v>27</v>
      </c>
      <c r="L112" s="1389">
        <v>45000</v>
      </c>
      <c r="M112" s="1303" t="s">
        <v>27</v>
      </c>
      <c r="N112" s="1304">
        <f t="shared" si="9"/>
        <v>90000</v>
      </c>
      <c r="P112" s="156"/>
      <c r="Q112" s="211"/>
    </row>
    <row r="113" spans="2:25" ht="18" customHeight="1" x14ac:dyDescent="0.25">
      <c r="B113" s="1451"/>
      <c r="C113" s="1454" t="s">
        <v>1262</v>
      </c>
      <c r="D113" s="270"/>
      <c r="E113" s="150"/>
      <c r="F113" s="150"/>
      <c r="G113" s="151"/>
      <c r="H113" s="1459"/>
      <c r="I113" s="760"/>
      <c r="J113" s="763"/>
      <c r="K113" s="1303"/>
      <c r="L113" s="155"/>
      <c r="M113" s="1303"/>
      <c r="N113" s="1304"/>
      <c r="P113" s="156"/>
      <c r="Q113" s="211"/>
    </row>
    <row r="114" spans="2:25" ht="18" customHeight="1" x14ac:dyDescent="0.25">
      <c r="B114" s="1451">
        <v>1</v>
      </c>
      <c r="C114" s="329" t="s">
        <v>1263</v>
      </c>
      <c r="D114" s="270"/>
      <c r="E114" s="150"/>
      <c r="F114" s="150"/>
      <c r="G114" s="151"/>
      <c r="H114" s="1459">
        <f>'QUANTYTI OK'!F165</f>
        <v>5.6000000000000005</v>
      </c>
      <c r="I114" s="760" t="s">
        <v>7</v>
      </c>
      <c r="J114" s="763" t="s">
        <v>572</v>
      </c>
      <c r="K114" s="1303" t="s">
        <v>27</v>
      </c>
      <c r="L114" s="155">
        <f>L22</f>
        <v>99187.5</v>
      </c>
      <c r="M114" s="1303" t="s">
        <v>27</v>
      </c>
      <c r="N114" s="1304">
        <f t="shared" ref="N114:N118" si="10">L114*H114</f>
        <v>555450</v>
      </c>
      <c r="P114" s="156"/>
      <c r="Q114" s="211"/>
    </row>
    <row r="115" spans="2:25" ht="18" customHeight="1" x14ac:dyDescent="0.25">
      <c r="B115" s="1451">
        <v>2</v>
      </c>
      <c r="C115" s="329" t="s">
        <v>1267</v>
      </c>
      <c r="D115" s="270"/>
      <c r="E115" s="150"/>
      <c r="F115" s="150"/>
      <c r="G115" s="151"/>
      <c r="H115" s="1327"/>
      <c r="I115" s="760"/>
      <c r="J115" s="763"/>
      <c r="K115" s="1303"/>
      <c r="L115" s="155"/>
      <c r="M115" s="1303"/>
      <c r="N115" s="1304"/>
      <c r="P115" s="156"/>
      <c r="Q115" s="211"/>
    </row>
    <row r="116" spans="2:25" ht="18" customHeight="1" x14ac:dyDescent="0.25">
      <c r="B116" s="1451"/>
      <c r="C116" s="329" t="s">
        <v>456</v>
      </c>
      <c r="D116" s="270" t="s">
        <v>1268</v>
      </c>
      <c r="E116" s="150"/>
      <c r="F116" s="150"/>
      <c r="G116" s="151"/>
      <c r="H116" s="1327">
        <f>'QUANTYTI OK'!F166</f>
        <v>28</v>
      </c>
      <c r="I116" s="760" t="s">
        <v>435</v>
      </c>
      <c r="J116" s="763" t="s">
        <v>640</v>
      </c>
      <c r="K116" s="1303" t="s">
        <v>27</v>
      </c>
      <c r="L116" s="155">
        <f>L35</f>
        <v>163615.4197</v>
      </c>
      <c r="M116" s="1303" t="s">
        <v>27</v>
      </c>
      <c r="N116" s="1304">
        <f t="shared" si="10"/>
        <v>4581231.7516000001</v>
      </c>
      <c r="P116" s="156"/>
      <c r="Q116" s="211"/>
    </row>
    <row r="117" spans="2:25" ht="18" customHeight="1" x14ac:dyDescent="0.25">
      <c r="B117" s="1451"/>
      <c r="C117" s="329" t="s">
        <v>457</v>
      </c>
      <c r="D117" s="270" t="s">
        <v>459</v>
      </c>
      <c r="E117" s="150"/>
      <c r="F117" s="150"/>
      <c r="G117" s="151"/>
      <c r="H117" s="1327">
        <f>'QUANTYTI OK'!F168</f>
        <v>318.26666666666671</v>
      </c>
      <c r="I117" s="760" t="s">
        <v>12</v>
      </c>
      <c r="J117" s="763" t="s">
        <v>625</v>
      </c>
      <c r="K117" s="1303" t="s">
        <v>27</v>
      </c>
      <c r="L117" s="155">
        <f>L36</f>
        <v>22081.15</v>
      </c>
      <c r="M117" s="1303" t="s">
        <v>27</v>
      </c>
      <c r="N117" s="1304">
        <f t="shared" si="10"/>
        <v>7027694.0066666678</v>
      </c>
      <c r="P117" s="156"/>
      <c r="Q117" s="211"/>
    </row>
    <row r="118" spans="2:25" ht="18" customHeight="1" x14ac:dyDescent="0.25">
      <c r="B118" s="1451"/>
      <c r="C118" s="329" t="s">
        <v>458</v>
      </c>
      <c r="D118" s="270" t="s">
        <v>460</v>
      </c>
      <c r="E118" s="150"/>
      <c r="F118" s="150"/>
      <c r="G118" s="151"/>
      <c r="H118" s="1327">
        <f>'QUANTYTI OK'!F164</f>
        <v>3.85</v>
      </c>
      <c r="I118" s="760" t="s">
        <v>7</v>
      </c>
      <c r="J118" s="763" t="s">
        <v>628</v>
      </c>
      <c r="K118" s="1303" t="s">
        <v>27</v>
      </c>
      <c r="L118" s="155">
        <f>L37</f>
        <v>1377141.2916666665</v>
      </c>
      <c r="M118" s="1303" t="s">
        <v>27</v>
      </c>
      <c r="N118" s="1304">
        <f t="shared" si="10"/>
        <v>5301993.9729166664</v>
      </c>
      <c r="P118" s="156"/>
      <c r="Q118" s="211"/>
    </row>
    <row r="119" spans="2:25" ht="18" customHeight="1" x14ac:dyDescent="0.25">
      <c r="B119" s="157"/>
      <c r="C119" s="158"/>
      <c r="D119" s="158"/>
      <c r="E119" s="159"/>
      <c r="F119" s="159"/>
      <c r="G119" s="159"/>
      <c r="H119" s="160"/>
      <c r="I119" s="161"/>
      <c r="J119" s="162"/>
      <c r="K119" s="163" t="s">
        <v>1009</v>
      </c>
      <c r="L119" s="164"/>
      <c r="M119" s="163" t="s">
        <v>27</v>
      </c>
      <c r="N119" s="645">
        <f>SUM(N97:N118)</f>
        <v>35610461.106183335</v>
      </c>
      <c r="Q119" s="211"/>
    </row>
    <row r="120" spans="2:25" ht="18" customHeight="1" x14ac:dyDescent="0.25">
      <c r="B120" s="320" t="s">
        <v>542</v>
      </c>
      <c r="C120" s="321" t="s">
        <v>1073</v>
      </c>
      <c r="D120" s="321"/>
      <c r="E120" s="159"/>
      <c r="F120" s="159"/>
      <c r="G120" s="159"/>
      <c r="H120" s="160"/>
      <c r="I120" s="161"/>
      <c r="J120" s="335"/>
      <c r="K120" s="159"/>
      <c r="L120" s="322"/>
      <c r="M120" s="159"/>
      <c r="N120" s="646"/>
      <c r="Q120" s="211"/>
    </row>
    <row r="121" spans="2:25" s="639" customFormat="1" ht="18" customHeight="1" x14ac:dyDescent="0.25">
      <c r="B121" s="632">
        <v>1</v>
      </c>
      <c r="C121" s="633" t="s">
        <v>1092</v>
      </c>
      <c r="D121" s="634"/>
      <c r="E121" s="635"/>
      <c r="F121" s="635"/>
      <c r="G121" s="636"/>
      <c r="H121" s="152">
        <f>'QUANTYTI OK'!F122</f>
        <v>9.8880000000000017</v>
      </c>
      <c r="I121" s="153" t="s">
        <v>906</v>
      </c>
      <c r="J121" s="210" t="s">
        <v>577</v>
      </c>
      <c r="K121" s="637" t="s">
        <v>27</v>
      </c>
      <c r="L121" s="638">
        <f>'AHS-2016'!$G$96</f>
        <v>173937.5</v>
      </c>
      <c r="M121" s="637" t="s">
        <v>27</v>
      </c>
      <c r="N121" s="649">
        <f t="shared" ref="N121:N126" si="11">H121*L121</f>
        <v>1719894.0000000002</v>
      </c>
      <c r="Q121" s="640"/>
      <c r="R121" s="641"/>
      <c r="S121" s="641"/>
      <c r="T121" s="641"/>
      <c r="U121" s="641"/>
      <c r="V121" s="641"/>
      <c r="W121" s="641"/>
      <c r="X121" s="641"/>
      <c r="Y121" s="641"/>
    </row>
    <row r="122" spans="2:25" s="639" customFormat="1" ht="18" customHeight="1" x14ac:dyDescent="0.25">
      <c r="B122" s="632">
        <v>2</v>
      </c>
      <c r="C122" s="1345" t="s">
        <v>1087</v>
      </c>
      <c r="D122" s="1346"/>
      <c r="E122" s="1347"/>
      <c r="F122" s="1347"/>
      <c r="G122" s="1348"/>
      <c r="H122" s="152">
        <f>'QUANTYTI OK'!F128</f>
        <v>19.787520000000001</v>
      </c>
      <c r="I122" s="153" t="s">
        <v>906</v>
      </c>
      <c r="J122" s="210" t="s">
        <v>1084</v>
      </c>
      <c r="K122" s="312" t="s">
        <v>27</v>
      </c>
      <c r="L122" s="638">
        <f>'AHS-2016'!G278</f>
        <v>1304763.1666666665</v>
      </c>
      <c r="M122" s="637" t="s">
        <v>27</v>
      </c>
      <c r="N122" s="649">
        <f t="shared" si="11"/>
        <v>25818027.255679999</v>
      </c>
      <c r="Q122" s="640"/>
      <c r="R122" s="641"/>
      <c r="S122" s="641"/>
      <c r="T122" s="641"/>
      <c r="U122" s="641"/>
      <c r="V122" s="641"/>
      <c r="W122" s="641"/>
      <c r="X122" s="641"/>
      <c r="Y122" s="641"/>
    </row>
    <row r="123" spans="2:25" s="639" customFormat="1" ht="18" customHeight="1" x14ac:dyDescent="0.25">
      <c r="B123" s="310">
        <v>3</v>
      </c>
      <c r="C123" s="1541" t="s">
        <v>1096</v>
      </c>
      <c r="D123" s="1542"/>
      <c r="E123" s="1542"/>
      <c r="F123" s="1542"/>
      <c r="G123" s="1543"/>
      <c r="H123" s="311">
        <f>'QUANTYTI OK'!O137</f>
        <v>3.7440000000000007</v>
      </c>
      <c r="I123" s="153" t="s">
        <v>906</v>
      </c>
      <c r="J123" s="210" t="s">
        <v>1084</v>
      </c>
      <c r="K123" s="312" t="s">
        <v>27</v>
      </c>
      <c r="L123" s="313">
        <f>'AHS-2016'!G278</f>
        <v>1304763.1666666665</v>
      </c>
      <c r="M123" s="154" t="s">
        <v>27</v>
      </c>
      <c r="N123" s="649">
        <f t="shared" si="11"/>
        <v>4885033.2960000001</v>
      </c>
      <c r="Q123" s="640"/>
      <c r="R123" s="641"/>
      <c r="S123" s="641"/>
      <c r="T123" s="641"/>
      <c r="U123" s="641"/>
      <c r="V123" s="641"/>
      <c r="W123" s="641"/>
      <c r="X123" s="641"/>
      <c r="Y123" s="641"/>
    </row>
    <row r="124" spans="2:25" s="639" customFormat="1" ht="18" customHeight="1" x14ac:dyDescent="0.25">
      <c r="B124" s="632">
        <v>4</v>
      </c>
      <c r="C124" s="1358" t="s">
        <v>1091</v>
      </c>
      <c r="D124" s="1356"/>
      <c r="E124" s="1356"/>
      <c r="F124" s="1356"/>
      <c r="G124" s="1357"/>
      <c r="H124" s="311">
        <f>'QUANTYTI OK'!F138</f>
        <v>65.488799999999998</v>
      </c>
      <c r="I124" s="153" t="s">
        <v>435</v>
      </c>
      <c r="J124" s="210" t="s">
        <v>1140</v>
      </c>
      <c r="K124" s="312" t="s">
        <v>27</v>
      </c>
      <c r="L124" s="313">
        <f>'AHS-2016'!G878</f>
        <v>404828.75</v>
      </c>
      <c r="M124" s="154" t="s">
        <v>27</v>
      </c>
      <c r="N124" s="649">
        <f t="shared" si="11"/>
        <v>26511749.042999998</v>
      </c>
      <c r="Q124" s="640"/>
      <c r="R124" s="641"/>
      <c r="S124" s="641"/>
      <c r="T124" s="641"/>
      <c r="U124" s="641"/>
      <c r="V124" s="641"/>
      <c r="W124" s="641"/>
      <c r="X124" s="641"/>
      <c r="Y124" s="641"/>
    </row>
    <row r="125" spans="2:25" s="639" customFormat="1" ht="18" customHeight="1" x14ac:dyDescent="0.25">
      <c r="B125" s="310">
        <v>5</v>
      </c>
      <c r="C125" s="1358" t="s">
        <v>1080</v>
      </c>
      <c r="D125" s="1356"/>
      <c r="E125" s="1356"/>
      <c r="F125" s="1356"/>
      <c r="G125" s="1357"/>
      <c r="H125" s="311">
        <f>((1.4*1.75+1.8*1.75)*2)-(0.7*2+0.4*0.6)</f>
        <v>9.5599999999999987</v>
      </c>
      <c r="I125" s="153" t="s">
        <v>405</v>
      </c>
      <c r="J125" s="210" t="s">
        <v>1223</v>
      </c>
      <c r="K125" s="312" t="s">
        <v>27</v>
      </c>
      <c r="L125" s="313">
        <f>'AHS-2016'!G922</f>
        <v>398158.75</v>
      </c>
      <c r="M125" s="154" t="s">
        <v>27</v>
      </c>
      <c r="N125" s="649">
        <f t="shared" si="11"/>
        <v>3806397.6499999994</v>
      </c>
      <c r="Q125" s="640">
        <f>5*7</f>
        <v>35</v>
      </c>
      <c r="R125" s="641"/>
      <c r="S125" s="641"/>
      <c r="T125" s="641"/>
      <c r="U125" s="641"/>
      <c r="V125" s="641"/>
      <c r="W125" s="641"/>
      <c r="X125" s="641"/>
      <c r="Y125" s="641"/>
    </row>
    <row r="126" spans="2:25" ht="18" customHeight="1" x14ac:dyDescent="0.25">
      <c r="B126" s="632">
        <v>6</v>
      </c>
      <c r="C126" s="1541" t="s">
        <v>1081</v>
      </c>
      <c r="D126" s="1542"/>
      <c r="E126" s="1542"/>
      <c r="F126" s="1542"/>
      <c r="G126" s="1543"/>
      <c r="H126" s="1441">
        <f>1.5*2</f>
        <v>3</v>
      </c>
      <c r="I126" s="1231" t="s">
        <v>405</v>
      </c>
      <c r="J126" s="1302" t="s">
        <v>1083</v>
      </c>
      <c r="K126" s="1442" t="s">
        <v>27</v>
      </c>
      <c r="L126" s="1443">
        <f>'AHS-2016'!G900</f>
        <v>334506.25</v>
      </c>
      <c r="M126" s="1303" t="s">
        <v>27</v>
      </c>
      <c r="N126" s="1444">
        <f t="shared" si="11"/>
        <v>1003518.75</v>
      </c>
      <c r="P126" s="156"/>
      <c r="Q126" s="211"/>
    </row>
    <row r="127" spans="2:25" ht="18" customHeight="1" x14ac:dyDescent="0.25">
      <c r="B127" s="310">
        <v>7</v>
      </c>
      <c r="C127" s="1446" t="s">
        <v>1232</v>
      </c>
      <c r="D127" s="1384"/>
      <c r="E127" s="1384"/>
      <c r="F127" s="1384"/>
      <c r="G127" s="1384"/>
      <c r="H127" s="1440">
        <v>30</v>
      </c>
      <c r="I127" s="1297" t="s">
        <v>308</v>
      </c>
      <c r="J127" s="1378" t="s">
        <v>1143</v>
      </c>
      <c r="K127" s="1442" t="s">
        <v>27</v>
      </c>
      <c r="L127" s="1445">
        <v>249000</v>
      </c>
      <c r="M127" s="1303" t="s">
        <v>27</v>
      </c>
      <c r="N127" s="1444">
        <f t="shared" ref="N127" si="12">H127*L127</f>
        <v>7470000</v>
      </c>
      <c r="P127" s="156"/>
      <c r="Q127" s="211">
        <f>1*1.2</f>
        <v>1.2</v>
      </c>
    </row>
    <row r="128" spans="2:25" ht="18" customHeight="1" x14ac:dyDescent="0.25">
      <c r="B128" s="157"/>
      <c r="C128" s="158"/>
      <c r="D128" s="158"/>
      <c r="E128" s="159"/>
      <c r="F128" s="159"/>
      <c r="G128" s="159"/>
      <c r="H128" s="160"/>
      <c r="I128" s="161"/>
      <c r="J128" s="162"/>
      <c r="K128" s="163" t="s">
        <v>1010</v>
      </c>
      <c r="L128" s="164"/>
      <c r="M128" s="163" t="s">
        <v>27</v>
      </c>
      <c r="N128" s="645">
        <f>SUM(N121:N127)</f>
        <v>71214619.994679987</v>
      </c>
      <c r="Q128" s="211">
        <f>Q125/Q127</f>
        <v>29.166666666666668</v>
      </c>
    </row>
    <row r="129" spans="2:17" ht="18" customHeight="1" x14ac:dyDescent="0.25">
      <c r="B129" s="1455" t="s">
        <v>470</v>
      </c>
      <c r="C129" s="321" t="s">
        <v>1021</v>
      </c>
      <c r="D129" s="321"/>
      <c r="E129" s="159"/>
      <c r="F129" s="159"/>
      <c r="G129" s="159"/>
      <c r="H129" s="275"/>
      <c r="I129" s="1323"/>
      <c r="J129" s="161"/>
      <c r="K129" s="163"/>
      <c r="L129" s="164"/>
      <c r="M129" s="1324"/>
      <c r="N129" s="1325"/>
      <c r="Q129" s="211"/>
    </row>
    <row r="130" spans="2:17" ht="18" customHeight="1" x14ac:dyDescent="0.25">
      <c r="B130" s="168">
        <v>1</v>
      </c>
      <c r="C130" s="319" t="s">
        <v>1048</v>
      </c>
      <c r="D130" s="319"/>
      <c r="E130" s="165"/>
      <c r="F130" s="165"/>
      <c r="G130" s="165"/>
      <c r="H130" s="167">
        <v>8</v>
      </c>
      <c r="I130" s="168" t="s">
        <v>308</v>
      </c>
      <c r="J130" s="1239" t="s">
        <v>1143</v>
      </c>
      <c r="K130" s="637" t="s">
        <v>27</v>
      </c>
      <c r="L130" s="170">
        <v>50000</v>
      </c>
      <c r="M130" s="154" t="s">
        <v>27</v>
      </c>
      <c r="N130" s="1344">
        <f>H130*L130</f>
        <v>400000</v>
      </c>
      <c r="Q130" s="172"/>
    </row>
    <row r="131" spans="2:17" ht="18" customHeight="1" x14ac:dyDescent="0.25">
      <c r="B131" s="1320">
        <v>2</v>
      </c>
      <c r="C131" s="172" t="s">
        <v>1049</v>
      </c>
      <c r="D131" s="172"/>
      <c r="E131" s="171"/>
      <c r="F131" s="171"/>
      <c r="G131" s="171"/>
      <c r="H131" s="623">
        <v>8</v>
      </c>
      <c r="I131" s="1320" t="s">
        <v>1053</v>
      </c>
      <c r="J131" s="1239" t="s">
        <v>1143</v>
      </c>
      <c r="K131" s="637" t="s">
        <v>27</v>
      </c>
      <c r="L131" s="309">
        <v>30000</v>
      </c>
      <c r="M131" s="154" t="s">
        <v>27</v>
      </c>
      <c r="N131" s="1344">
        <f>H131*L131</f>
        <v>240000</v>
      </c>
      <c r="Q131" s="172"/>
    </row>
    <row r="132" spans="2:17" ht="18" customHeight="1" x14ac:dyDescent="0.25">
      <c r="B132" s="153">
        <v>3</v>
      </c>
      <c r="C132" s="270" t="s">
        <v>1050</v>
      </c>
      <c r="D132" s="270"/>
      <c r="E132" s="150"/>
      <c r="F132" s="150"/>
      <c r="G132" s="150"/>
      <c r="H132" s="152">
        <v>8</v>
      </c>
      <c r="I132" s="153" t="s">
        <v>308</v>
      </c>
      <c r="J132" s="1239" t="s">
        <v>1143</v>
      </c>
      <c r="K132" s="637" t="s">
        <v>27</v>
      </c>
      <c r="L132" s="155">
        <v>50000</v>
      </c>
      <c r="M132" s="154" t="s">
        <v>27</v>
      </c>
      <c r="N132" s="1344">
        <f>H132*L132</f>
        <v>400000</v>
      </c>
      <c r="Q132" s="172"/>
    </row>
    <row r="133" spans="2:17" ht="18" customHeight="1" x14ac:dyDescent="0.25">
      <c r="B133" s="153">
        <v>4</v>
      </c>
      <c r="C133" s="270" t="s">
        <v>1051</v>
      </c>
      <c r="D133" s="270"/>
      <c r="E133" s="150"/>
      <c r="F133" s="150"/>
      <c r="G133" s="150"/>
      <c r="H133" s="152">
        <v>8</v>
      </c>
      <c r="I133" s="153" t="s">
        <v>1053</v>
      </c>
      <c r="J133" s="1239" t="s">
        <v>1143</v>
      </c>
      <c r="K133" s="637" t="s">
        <v>27</v>
      </c>
      <c r="L133" s="155">
        <v>450000</v>
      </c>
      <c r="M133" s="154" t="s">
        <v>27</v>
      </c>
      <c r="N133" s="1344">
        <f>H133*L133</f>
        <v>3600000</v>
      </c>
      <c r="Q133" s="172"/>
    </row>
    <row r="134" spans="2:17" ht="18" customHeight="1" x14ac:dyDescent="0.25">
      <c r="B134" s="153">
        <v>5</v>
      </c>
      <c r="C134" s="270" t="s">
        <v>1052</v>
      </c>
      <c r="D134" s="270"/>
      <c r="E134" s="150"/>
      <c r="F134" s="150"/>
      <c r="G134" s="150"/>
      <c r="H134" s="152">
        <v>1</v>
      </c>
      <c r="I134" s="153" t="s">
        <v>306</v>
      </c>
      <c r="J134" s="1239" t="s">
        <v>1143</v>
      </c>
      <c r="K134" s="637" t="s">
        <v>27</v>
      </c>
      <c r="L134" s="155">
        <v>350000</v>
      </c>
      <c r="M134" s="154" t="s">
        <v>27</v>
      </c>
      <c r="N134" s="1344">
        <f>H134*L134</f>
        <v>350000</v>
      </c>
      <c r="Q134" s="172"/>
    </row>
    <row r="135" spans="2:17" ht="18" customHeight="1" x14ac:dyDescent="0.25">
      <c r="B135" s="1320"/>
      <c r="C135" s="172"/>
      <c r="D135" s="172"/>
      <c r="E135" s="171"/>
      <c r="F135" s="171"/>
      <c r="G135" s="171"/>
      <c r="H135" s="1321"/>
      <c r="I135" s="1309"/>
      <c r="J135" s="176"/>
      <c r="K135" s="1467" t="s">
        <v>1072</v>
      </c>
      <c r="L135" s="1322"/>
      <c r="M135" s="154" t="s">
        <v>27</v>
      </c>
      <c r="N135" s="1326">
        <f>SUM(N130:N134)</f>
        <v>4990000</v>
      </c>
      <c r="Q135" s="211"/>
    </row>
    <row r="136" spans="2:17" ht="18" customHeight="1" x14ac:dyDescent="0.2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Q136" s="211"/>
    </row>
    <row r="137" spans="2:17" ht="18" hidden="1" customHeight="1" x14ac:dyDescent="0.25">
      <c r="B137" s="1481"/>
      <c r="C137" s="186"/>
      <c r="D137" s="1308"/>
      <c r="E137" s="174"/>
      <c r="F137" s="174"/>
      <c r="G137" s="174"/>
      <c r="H137" s="1299"/>
      <c r="I137" s="186"/>
      <c r="J137" s="1482"/>
      <c r="K137" s="1467" t="s">
        <v>489</v>
      </c>
      <c r="L137" s="1322"/>
      <c r="M137" s="1467" t="s">
        <v>27</v>
      </c>
      <c r="N137" s="1483" t="e">
        <f>SUM(#REF!)</f>
        <v>#REF!</v>
      </c>
    </row>
    <row r="138" spans="2:17" ht="30" customHeight="1" x14ac:dyDescent="0.25">
      <c r="B138" s="182"/>
      <c r="C138" s="182"/>
      <c r="D138" s="183"/>
      <c r="E138" s="173"/>
      <c r="F138" s="173"/>
      <c r="G138" s="173"/>
      <c r="H138" s="184"/>
      <c r="I138" s="182"/>
      <c r="J138" s="182"/>
      <c r="K138" s="173"/>
      <c r="L138" s="184"/>
      <c r="M138" s="173"/>
      <c r="N138" s="184"/>
    </row>
    <row r="139" spans="2:17" ht="18" customHeight="1" x14ac:dyDescent="0.25">
      <c r="B139" s="176"/>
      <c r="C139" s="176"/>
      <c r="D139" s="172"/>
      <c r="E139" s="171"/>
      <c r="F139" s="171"/>
      <c r="G139" s="171"/>
      <c r="H139" s="181"/>
      <c r="I139" s="176"/>
      <c r="J139" s="176"/>
      <c r="K139" s="171"/>
      <c r="L139" s="181"/>
      <c r="M139" s="171"/>
      <c r="N139" s="181"/>
    </row>
    <row r="140" spans="2:17" ht="14.25" customHeight="1" x14ac:dyDescent="0.25">
      <c r="B140" s="176"/>
      <c r="C140" s="176"/>
      <c r="D140" s="172"/>
      <c r="E140" s="171"/>
      <c r="F140" s="171"/>
      <c r="G140" s="171"/>
      <c r="H140" s="181"/>
      <c r="I140" s="176"/>
      <c r="J140" s="176"/>
      <c r="K140" s="171"/>
      <c r="L140" s="181"/>
      <c r="M140" s="171"/>
      <c r="N140" s="181"/>
    </row>
    <row r="141" spans="2:17" ht="11.25" customHeight="1" x14ac:dyDescent="0.25">
      <c r="J141" s="137"/>
    </row>
    <row r="142" spans="2:17" ht="18" customHeight="1" x14ac:dyDescent="0.25">
      <c r="J142" s="137"/>
    </row>
    <row r="143" spans="2:17" ht="18" customHeight="1" x14ac:dyDescent="0.25">
      <c r="J143" s="137"/>
    </row>
    <row r="144" spans="2:17" ht="18" customHeight="1" x14ac:dyDescent="0.25">
      <c r="J144" s="137"/>
    </row>
    <row r="145" spans="10:17" ht="18" customHeight="1" x14ac:dyDescent="0.25">
      <c r="J145" s="137"/>
      <c r="Q145" s="177"/>
    </row>
    <row r="146" spans="10:17" ht="18" customHeight="1" x14ac:dyDescent="0.25">
      <c r="J146" s="137"/>
    </row>
    <row r="147" spans="10:17" ht="18" customHeight="1" x14ac:dyDescent="0.25">
      <c r="J147" s="137"/>
    </row>
    <row r="148" spans="10:17" ht="18" customHeight="1" x14ac:dyDescent="0.25">
      <c r="J148" s="137"/>
    </row>
    <row r="149" spans="10:17" ht="18" customHeight="1" x14ac:dyDescent="0.25">
      <c r="J149" s="137"/>
    </row>
    <row r="150" spans="10:17" ht="18" customHeight="1" x14ac:dyDescent="0.25">
      <c r="J150" s="137"/>
      <c r="Q150" s="180"/>
    </row>
    <row r="151" spans="10:17" ht="18" hidden="1" customHeight="1" thickBot="1" x14ac:dyDescent="0.3">
      <c r="J151" s="137"/>
      <c r="Q151" s="181"/>
    </row>
    <row r="152" spans="10:17" ht="18" customHeight="1" x14ac:dyDescent="0.25">
      <c r="J152" s="137"/>
    </row>
    <row r="153" spans="10:17" ht="18" customHeight="1" x14ac:dyDescent="0.25">
      <c r="J153" s="137"/>
    </row>
    <row r="154" spans="10:17" ht="18" customHeight="1" x14ac:dyDescent="0.25">
      <c r="J154" s="137"/>
      <c r="Q154" s="180">
        <f>REKP!I24-REKP!I23</f>
        <v>114.44349545240402</v>
      </c>
    </row>
    <row r="155" spans="10:17" ht="18" customHeight="1" x14ac:dyDescent="0.25">
      <c r="J155" s="137"/>
      <c r="O155" s="156"/>
      <c r="P155" s="156"/>
    </row>
    <row r="156" spans="10:17" ht="18" customHeight="1" x14ac:dyDescent="0.25">
      <c r="J156" s="137"/>
      <c r="O156" s="156"/>
      <c r="P156" s="156"/>
    </row>
    <row r="157" spans="10:17" ht="18" customHeight="1" x14ac:dyDescent="0.25">
      <c r="J157" s="137"/>
      <c r="O157" s="156"/>
      <c r="P157" s="156"/>
    </row>
    <row r="158" spans="10:17" ht="18" customHeight="1" x14ac:dyDescent="0.25">
      <c r="J158" s="137"/>
    </row>
    <row r="159" spans="10:17" ht="18" customHeight="1" x14ac:dyDescent="0.25">
      <c r="J159" s="137"/>
    </row>
    <row r="160" spans="10:17" ht="18" customHeight="1" x14ac:dyDescent="0.25">
      <c r="J160" s="137"/>
    </row>
    <row r="161" spans="10:16" ht="18" customHeight="1" x14ac:dyDescent="0.25">
      <c r="J161" s="137"/>
    </row>
    <row r="162" spans="10:16" ht="20.100000000000001" customHeight="1" x14ac:dyDescent="0.25">
      <c r="J162" s="137"/>
      <c r="P162" s="654">
        <f>REKP!I24</f>
        <v>528437000</v>
      </c>
    </row>
    <row r="163" spans="10:16" ht="20.100000000000001" customHeight="1" x14ac:dyDescent="0.25">
      <c r="J163" s="137"/>
      <c r="P163" s="156">
        <f>$P$162-REKP!$I$24</f>
        <v>0</v>
      </c>
    </row>
    <row r="164" spans="10:16" ht="20.100000000000001" hidden="1" customHeight="1" x14ac:dyDescent="0.25">
      <c r="J164" s="137"/>
    </row>
    <row r="165" spans="10:16" ht="20.100000000000001" hidden="1" customHeight="1" x14ac:dyDescent="0.25">
      <c r="J165" s="137"/>
    </row>
    <row r="166" spans="10:16" ht="20.100000000000001" customHeight="1" x14ac:dyDescent="0.25">
      <c r="J166" s="137"/>
    </row>
    <row r="167" spans="10:16" ht="20.100000000000001" customHeight="1" x14ac:dyDescent="0.25">
      <c r="J167" s="137"/>
    </row>
    <row r="168" spans="10:16" ht="20.100000000000001" customHeight="1" x14ac:dyDescent="0.25">
      <c r="J168" s="137"/>
    </row>
    <row r="169" spans="10:16" ht="20.100000000000001" customHeight="1" x14ac:dyDescent="0.25">
      <c r="J169" s="137"/>
    </row>
    <row r="170" spans="10:16" ht="20.100000000000001" customHeight="1" x14ac:dyDescent="0.25">
      <c r="J170" s="137"/>
    </row>
    <row r="171" spans="10:16" ht="20.100000000000001" hidden="1" customHeight="1" x14ac:dyDescent="0.25">
      <c r="J171" s="137"/>
    </row>
    <row r="172" spans="10:16" ht="20.100000000000001" hidden="1" customHeight="1" x14ac:dyDescent="0.25">
      <c r="J172" s="137"/>
    </row>
    <row r="173" spans="10:16" ht="20.100000000000001" customHeight="1" x14ac:dyDescent="0.25">
      <c r="J173" s="137"/>
    </row>
    <row r="174" spans="10:16" ht="20.100000000000001" customHeight="1" x14ac:dyDescent="0.25">
      <c r="J174" s="137"/>
    </row>
    <row r="175" spans="10:16" ht="20.100000000000001" customHeight="1" x14ac:dyDescent="0.25">
      <c r="J175" s="137"/>
    </row>
    <row r="176" spans="10:16" ht="15.75" customHeight="1" x14ac:dyDescent="0.25">
      <c r="J176" s="137"/>
    </row>
    <row r="177" spans="10:10" ht="15.75" customHeight="1" x14ac:dyDescent="0.25">
      <c r="J177" s="137"/>
    </row>
    <row r="178" spans="10:10" ht="15" customHeight="1" x14ac:dyDescent="0.25">
      <c r="J178" s="137"/>
    </row>
    <row r="179" spans="10:10" ht="20.100000000000001" customHeight="1" x14ac:dyDescent="0.25">
      <c r="J179" s="137"/>
    </row>
    <row r="180" spans="10:10" x14ac:dyDescent="0.25">
      <c r="J180" s="137"/>
    </row>
    <row r="181" spans="10:10" x14ac:dyDescent="0.25">
      <c r="J181" s="137"/>
    </row>
    <row r="182" spans="10:10" x14ac:dyDescent="0.25">
      <c r="J182" s="137"/>
    </row>
    <row r="183" spans="10:10" x14ac:dyDescent="0.25">
      <c r="J183" s="137"/>
    </row>
    <row r="184" spans="10:10" x14ac:dyDescent="0.25">
      <c r="J184" s="137"/>
    </row>
    <row r="185" spans="10:10" x14ac:dyDescent="0.25">
      <c r="J185" s="137"/>
    </row>
    <row r="186" spans="10:10" x14ac:dyDescent="0.25">
      <c r="J186" s="137"/>
    </row>
    <row r="187" spans="10:10" x14ac:dyDescent="0.25">
      <c r="J187" s="137"/>
    </row>
    <row r="188" spans="10:10" x14ac:dyDescent="0.25">
      <c r="J188" s="137"/>
    </row>
    <row r="189" spans="10:10" x14ac:dyDescent="0.25">
      <c r="J189" s="137"/>
    </row>
    <row r="190" spans="10:10" x14ac:dyDescent="0.25">
      <c r="J190" s="137"/>
    </row>
    <row r="191" spans="10:10" x14ac:dyDescent="0.25">
      <c r="J191" s="137"/>
    </row>
  </sheetData>
  <mergeCells count="17">
    <mergeCell ref="C123:G123"/>
    <mergeCell ref="F10:N10"/>
    <mergeCell ref="C126:G126"/>
    <mergeCell ref="C72:G72"/>
    <mergeCell ref="B4:N4"/>
    <mergeCell ref="K12:L12"/>
    <mergeCell ref="K13:L13"/>
    <mergeCell ref="K14:L14"/>
    <mergeCell ref="M12:N12"/>
    <mergeCell ref="M13:N13"/>
    <mergeCell ref="M14:N14"/>
    <mergeCell ref="J12:J13"/>
    <mergeCell ref="I12:I13"/>
    <mergeCell ref="H12:H13"/>
    <mergeCell ref="B12:B13"/>
    <mergeCell ref="D14:G14"/>
    <mergeCell ref="C12:G13"/>
  </mergeCells>
  <printOptions horizontalCentered="1"/>
  <pageMargins left="0.28999999999999998" right="0.17" top="0.48" bottom="0.25" header="0.49" footer="0.19"/>
  <pageSetup paperSize="9" scale="65" orientation="portrait" r:id="rId1"/>
  <rowBreaks count="2" manualBreakCount="2">
    <brk id="69" min="1" max="13" man="1"/>
    <brk id="136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S476"/>
  <sheetViews>
    <sheetView view="pageBreakPreview" topLeftCell="B440" zoomScaleSheetLayoutView="100" workbookViewId="0">
      <selection activeCell="G468" sqref="G468"/>
    </sheetView>
  </sheetViews>
  <sheetFormatPr defaultRowHeight="14.25" x14ac:dyDescent="0.2"/>
  <cols>
    <col min="1" max="1" width="9.140625" style="655"/>
    <col min="2" max="2" width="10.5703125" style="655" customWidth="1"/>
    <col min="3" max="3" width="32.7109375" style="655" customWidth="1"/>
    <col min="4" max="4" width="7" style="655" customWidth="1"/>
    <col min="5" max="5" width="9.5703125" style="655" customWidth="1"/>
    <col min="6" max="6" width="12.85546875" style="655" customWidth="1"/>
    <col min="7" max="7" width="17.85546875" style="656" customWidth="1"/>
    <col min="8" max="8" width="20.42578125" style="657" bestFit="1" customWidth="1"/>
    <col min="9" max="9" width="21.140625" style="655" bestFit="1" customWidth="1"/>
    <col min="10" max="10" width="3.7109375" style="655" customWidth="1"/>
    <col min="11" max="11" width="15.7109375" style="655" customWidth="1"/>
    <col min="12" max="16384" width="9.140625" style="655"/>
  </cols>
  <sheetData>
    <row r="1" spans="2:11" x14ac:dyDescent="0.2">
      <c r="B1" s="1564" t="s">
        <v>769</v>
      </c>
      <c r="C1" s="1564"/>
      <c r="D1" s="1564"/>
      <c r="E1" s="1564"/>
      <c r="F1" s="1564"/>
      <c r="G1" s="1564"/>
      <c r="H1" s="1564"/>
    </row>
    <row r="2" spans="2:11" x14ac:dyDescent="0.2">
      <c r="B2" s="1564"/>
      <c r="C2" s="1564"/>
      <c r="D2" s="1564"/>
      <c r="E2" s="1564"/>
      <c r="F2" s="1564"/>
      <c r="G2" s="1564"/>
      <c r="H2" s="1564"/>
    </row>
    <row r="3" spans="2:11" x14ac:dyDescent="0.2">
      <c r="B3" s="1564"/>
      <c r="C3" s="1564"/>
      <c r="D3" s="1564"/>
      <c r="E3" s="1564"/>
      <c r="F3" s="1564"/>
      <c r="G3" s="1564"/>
      <c r="H3" s="1564"/>
    </row>
    <row r="4" spans="2:11" x14ac:dyDescent="0.2">
      <c r="B4" s="1564"/>
      <c r="C4" s="1564"/>
      <c r="D4" s="1564"/>
      <c r="E4" s="1564"/>
      <c r="F4" s="1564"/>
      <c r="G4" s="1564"/>
      <c r="H4" s="1564"/>
    </row>
    <row r="5" spans="2:11" x14ac:dyDescent="0.2">
      <c r="B5" s="1564"/>
      <c r="C5" s="1564"/>
      <c r="D5" s="1564"/>
      <c r="E5" s="1564"/>
      <c r="F5" s="1564"/>
      <c r="G5" s="1564"/>
      <c r="H5" s="1564"/>
    </row>
    <row r="6" spans="2:11" ht="15" x14ac:dyDescent="0.25">
      <c r="I6" s="658">
        <v>0.15</v>
      </c>
      <c r="K6" s="659"/>
    </row>
    <row r="7" spans="2:11" ht="15" hidden="1" x14ac:dyDescent="0.25">
      <c r="B7" s="660" t="s">
        <v>770</v>
      </c>
      <c r="C7" s="660" t="s">
        <v>771</v>
      </c>
      <c r="E7" s="661"/>
      <c r="F7" s="662"/>
      <c r="G7" s="662"/>
      <c r="H7" s="663"/>
      <c r="J7" s="664"/>
    </row>
    <row r="8" spans="2:11" ht="15" hidden="1" x14ac:dyDescent="0.25">
      <c r="B8" s="664" t="s">
        <v>556</v>
      </c>
      <c r="C8" s="660" t="s">
        <v>5</v>
      </c>
      <c r="E8" s="661"/>
      <c r="F8" s="662"/>
      <c r="G8" s="662"/>
      <c r="H8" s="663"/>
      <c r="J8" s="664"/>
    </row>
    <row r="9" spans="2:11" ht="15" hidden="1" x14ac:dyDescent="0.25">
      <c r="B9" s="660"/>
      <c r="C9" s="665" t="s">
        <v>772</v>
      </c>
      <c r="E9" s="661">
        <v>1</v>
      </c>
      <c r="F9" s="664" t="s">
        <v>58</v>
      </c>
      <c r="G9" s="666">
        <v>40000</v>
      </c>
      <c r="H9" s="667">
        <f t="shared" ref="H9:H14" si="0">E9*G9</f>
        <v>40000</v>
      </c>
      <c r="J9" s="664"/>
    </row>
    <row r="10" spans="2:11" ht="15" hidden="1" x14ac:dyDescent="0.25">
      <c r="B10" s="660"/>
      <c r="C10" s="665" t="s">
        <v>773</v>
      </c>
      <c r="E10" s="661">
        <v>1</v>
      </c>
      <c r="F10" s="664" t="s">
        <v>58</v>
      </c>
      <c r="G10" s="666">
        <v>250000</v>
      </c>
      <c r="H10" s="667">
        <f t="shared" si="0"/>
        <v>250000</v>
      </c>
      <c r="J10" s="664"/>
    </row>
    <row r="11" spans="2:11" ht="15" hidden="1" x14ac:dyDescent="0.25">
      <c r="B11" s="660"/>
      <c r="C11" s="665" t="s">
        <v>774</v>
      </c>
      <c r="E11" s="661">
        <v>1</v>
      </c>
      <c r="F11" s="664" t="s">
        <v>58</v>
      </c>
      <c r="G11" s="666">
        <v>35000</v>
      </c>
      <c r="H11" s="667">
        <f t="shared" si="0"/>
        <v>35000</v>
      </c>
      <c r="J11" s="664"/>
    </row>
    <row r="12" spans="2:11" ht="15" hidden="1" x14ac:dyDescent="0.25">
      <c r="B12" s="660"/>
      <c r="C12" s="665" t="s">
        <v>775</v>
      </c>
      <c r="E12" s="661">
        <v>1</v>
      </c>
      <c r="F12" s="664" t="s">
        <v>58</v>
      </c>
      <c r="G12" s="666">
        <v>65000</v>
      </c>
      <c r="H12" s="667">
        <f t="shared" si="0"/>
        <v>65000</v>
      </c>
      <c r="J12" s="664"/>
    </row>
    <row r="13" spans="2:11" ht="15" hidden="1" x14ac:dyDescent="0.25">
      <c r="B13" s="660"/>
      <c r="C13" s="665" t="s">
        <v>776</v>
      </c>
      <c r="E13" s="661">
        <v>1</v>
      </c>
      <c r="F13" s="664" t="s">
        <v>58</v>
      </c>
      <c r="G13" s="666">
        <v>15000</v>
      </c>
      <c r="H13" s="667">
        <f t="shared" si="0"/>
        <v>15000</v>
      </c>
    </row>
    <row r="14" spans="2:11" ht="15" hidden="1" x14ac:dyDescent="0.25">
      <c r="B14" s="660"/>
      <c r="C14" s="665" t="s">
        <v>777</v>
      </c>
      <c r="E14" s="661">
        <v>1</v>
      </c>
      <c r="F14" s="664" t="s">
        <v>58</v>
      </c>
      <c r="G14" s="666">
        <v>75000</v>
      </c>
      <c r="H14" s="667">
        <f t="shared" si="0"/>
        <v>75000</v>
      </c>
    </row>
    <row r="15" spans="2:11" ht="15.75" hidden="1" thickBot="1" x14ac:dyDescent="0.3">
      <c r="B15" s="660"/>
      <c r="C15" s="665"/>
      <c r="D15" s="665"/>
      <c r="E15" s="661"/>
      <c r="F15" s="662"/>
      <c r="G15" s="662" t="s">
        <v>778</v>
      </c>
      <c r="H15" s="667">
        <f>SUM(H9:H14)</f>
        <v>480000</v>
      </c>
    </row>
    <row r="16" spans="2:11" ht="15.75" hidden="1" thickBot="1" x14ac:dyDescent="0.3">
      <c r="B16" s="660"/>
      <c r="C16" s="665"/>
      <c r="D16" s="665"/>
      <c r="E16" s="661"/>
      <c r="F16" s="662"/>
      <c r="G16" s="662" t="s">
        <v>779</v>
      </c>
      <c r="H16" s="668">
        <f>H15*$I$6</f>
        <v>72000</v>
      </c>
    </row>
    <row r="17" spans="2:19" ht="15.75" hidden="1" thickBot="1" x14ac:dyDescent="0.3">
      <c r="B17" s="660"/>
      <c r="C17" s="665"/>
      <c r="D17" s="665"/>
      <c r="E17" s="661"/>
      <c r="F17" s="662"/>
      <c r="G17" s="662" t="s">
        <v>780</v>
      </c>
      <c r="H17" s="668">
        <f>H16+H15</f>
        <v>552000</v>
      </c>
    </row>
    <row r="18" spans="2:19" hidden="1" x14ac:dyDescent="0.2"/>
    <row r="19" spans="2:19" ht="17.25" hidden="1" x14ac:dyDescent="0.25">
      <c r="B19" s="669" t="s">
        <v>770</v>
      </c>
      <c r="C19" s="669" t="s">
        <v>781</v>
      </c>
      <c r="E19" s="670"/>
      <c r="F19" s="671"/>
    </row>
    <row r="20" spans="2:19" hidden="1" x14ac:dyDescent="0.2">
      <c r="B20" s="672" t="s">
        <v>215</v>
      </c>
      <c r="C20" s="672" t="s">
        <v>5</v>
      </c>
      <c r="E20" s="670"/>
      <c r="F20" s="671"/>
    </row>
    <row r="21" spans="2:19" hidden="1" x14ac:dyDescent="0.2">
      <c r="B21" s="672"/>
      <c r="C21" s="672" t="s">
        <v>782</v>
      </c>
      <c r="E21" s="670">
        <v>2.9</v>
      </c>
      <c r="F21" s="671" t="s">
        <v>12</v>
      </c>
      <c r="G21" s="673">
        <v>16000</v>
      </c>
      <c r="H21" s="667">
        <f>E21*G21</f>
        <v>46400</v>
      </c>
    </row>
    <row r="22" spans="2:19" hidden="1" x14ac:dyDescent="0.2">
      <c r="B22" s="672"/>
      <c r="C22" s="672"/>
      <c r="E22" s="670"/>
      <c r="F22" s="671"/>
      <c r="G22" s="673" t="s">
        <v>778</v>
      </c>
      <c r="H22" s="667">
        <f>SUM(H21:H21)</f>
        <v>46400</v>
      </c>
    </row>
    <row r="23" spans="2:19" hidden="1" x14ac:dyDescent="0.2">
      <c r="B23" s="672"/>
      <c r="C23" s="672"/>
      <c r="E23" s="670"/>
      <c r="F23" s="671"/>
      <c r="G23" s="673"/>
      <c r="H23" s="667"/>
    </row>
    <row r="24" spans="2:19" hidden="1" x14ac:dyDescent="0.2">
      <c r="B24" s="672" t="s">
        <v>217</v>
      </c>
      <c r="C24" s="672" t="s">
        <v>15</v>
      </c>
      <c r="E24" s="670"/>
      <c r="F24" s="671"/>
      <c r="G24" s="673"/>
      <c r="H24" s="667"/>
    </row>
    <row r="25" spans="2:19" ht="15" hidden="1" x14ac:dyDescent="0.25">
      <c r="B25" s="669"/>
      <c r="C25" s="672" t="s">
        <v>17</v>
      </c>
      <c r="E25" s="670">
        <v>0.3</v>
      </c>
      <c r="F25" s="671" t="s">
        <v>16</v>
      </c>
      <c r="G25" s="674">
        <f>'[5]DAFTAR UPAH'!$G$14</f>
        <v>96000</v>
      </c>
      <c r="H25" s="667">
        <f>E25*G25</f>
        <v>28800</v>
      </c>
    </row>
    <row r="26" spans="2:19" ht="15" hidden="1" x14ac:dyDescent="0.25">
      <c r="B26" s="669"/>
      <c r="C26" s="672" t="s">
        <v>51</v>
      </c>
      <c r="E26" s="670">
        <v>0.2</v>
      </c>
      <c r="F26" s="671" t="s">
        <v>16</v>
      </c>
      <c r="G26" s="674">
        <f>'[5]DAFTAR UPAH'!$G$13</f>
        <v>115000</v>
      </c>
      <c r="H26" s="667">
        <f>E26*G26</f>
        <v>23000</v>
      </c>
    </row>
    <row r="27" spans="2:19" ht="15" hidden="1" x14ac:dyDescent="0.25">
      <c r="B27" s="669"/>
      <c r="C27" s="672" t="s">
        <v>93</v>
      </c>
      <c r="E27" s="670">
        <v>0.02</v>
      </c>
      <c r="F27" s="671" t="s">
        <v>16</v>
      </c>
      <c r="G27" s="674">
        <f>'[5]DAFTAR UPAH'!$G$12</f>
        <v>127500</v>
      </c>
      <c r="H27" s="667">
        <f>E27*G27</f>
        <v>2550</v>
      </c>
    </row>
    <row r="28" spans="2:19" ht="15" hidden="1" x14ac:dyDescent="0.25">
      <c r="B28" s="669"/>
      <c r="C28" s="672" t="s">
        <v>19</v>
      </c>
      <c r="E28" s="670">
        <v>1.4999999999999999E-2</v>
      </c>
      <c r="F28" s="671" t="s">
        <v>16</v>
      </c>
      <c r="G28" s="674">
        <f>'[5]DAFTAR UPAH'!$G$11</f>
        <v>115000</v>
      </c>
      <c r="H28" s="667">
        <f>E28*G28</f>
        <v>1725</v>
      </c>
    </row>
    <row r="29" spans="2:19" ht="15" hidden="1" thickBot="1" x14ac:dyDescent="0.25">
      <c r="G29" s="673" t="s">
        <v>783</v>
      </c>
      <c r="H29" s="667">
        <f>SUM(H25:H28)</f>
        <v>56075</v>
      </c>
      <c r="I29" s="675"/>
      <c r="J29" s="676"/>
      <c r="K29" s="677"/>
    </row>
    <row r="30" spans="2:19" ht="15.75" hidden="1" thickBot="1" x14ac:dyDescent="0.3">
      <c r="G30" s="662" t="s">
        <v>784</v>
      </c>
      <c r="H30" s="668">
        <f>SUM(H29,H22)</f>
        <v>102475</v>
      </c>
      <c r="I30" s="675"/>
      <c r="J30" s="676"/>
      <c r="K30" s="677"/>
      <c r="L30" s="661"/>
      <c r="M30" s="664"/>
      <c r="N30" s="664"/>
      <c r="O30" s="665"/>
      <c r="P30" s="673"/>
      <c r="Q30" s="678"/>
      <c r="R30" s="677"/>
      <c r="S30" s="679"/>
    </row>
    <row r="31" spans="2:19" ht="15.75" hidden="1" thickBot="1" x14ac:dyDescent="0.3">
      <c r="F31" s="662" t="s">
        <v>785</v>
      </c>
      <c r="G31" s="680">
        <f>$I$6</f>
        <v>0.15</v>
      </c>
      <c r="H31" s="668">
        <f>H30*G31</f>
        <v>15371.25</v>
      </c>
      <c r="J31" s="671"/>
      <c r="L31" s="661"/>
      <c r="M31" s="664"/>
      <c r="N31" s="664"/>
      <c r="O31" s="665"/>
      <c r="P31" s="673"/>
      <c r="Q31" s="678"/>
      <c r="R31" s="677"/>
      <c r="S31" s="679"/>
    </row>
    <row r="32" spans="2:19" ht="15.75" hidden="1" thickBot="1" x14ac:dyDescent="0.3">
      <c r="G32" s="662" t="s">
        <v>780</v>
      </c>
      <c r="H32" s="668">
        <f>H31+H30</f>
        <v>117846.25</v>
      </c>
      <c r="J32" s="671"/>
      <c r="L32" s="661"/>
      <c r="M32" s="664"/>
      <c r="N32" s="664"/>
      <c r="O32" s="665"/>
      <c r="P32" s="673"/>
      <c r="Q32" s="664"/>
      <c r="R32" s="677"/>
      <c r="S32" s="679"/>
    </row>
    <row r="33" spans="2:19" hidden="1" x14ac:dyDescent="0.2">
      <c r="J33" s="671"/>
      <c r="L33" s="661"/>
      <c r="M33" s="664"/>
      <c r="N33" s="664"/>
      <c r="O33" s="665"/>
      <c r="P33" s="673"/>
      <c r="Q33" s="664"/>
      <c r="R33" s="677"/>
      <c r="S33" s="679"/>
    </row>
    <row r="34" spans="2:19" ht="15" hidden="1" x14ac:dyDescent="0.25">
      <c r="B34" s="660"/>
      <c r="C34" s="660"/>
      <c r="D34" s="679"/>
      <c r="E34" s="661"/>
      <c r="F34" s="664"/>
      <c r="G34" s="662"/>
      <c r="H34" s="667"/>
      <c r="J34" s="672"/>
      <c r="L34" s="661"/>
      <c r="M34" s="664"/>
      <c r="N34" s="664"/>
      <c r="O34" s="665"/>
      <c r="P34" s="673"/>
      <c r="Q34" s="664"/>
      <c r="R34" s="659"/>
      <c r="S34" s="679"/>
    </row>
    <row r="35" spans="2:19" ht="15" hidden="1" x14ac:dyDescent="0.25">
      <c r="B35" s="660" t="s">
        <v>770</v>
      </c>
      <c r="C35" s="660" t="s">
        <v>786</v>
      </c>
      <c r="D35" s="679"/>
      <c r="E35" s="661"/>
      <c r="F35" s="664"/>
      <c r="G35" s="662"/>
      <c r="H35" s="667"/>
      <c r="J35" s="676"/>
      <c r="L35" s="661"/>
      <c r="M35" s="664"/>
      <c r="N35" s="664"/>
      <c r="O35" s="665"/>
      <c r="P35" s="673"/>
      <c r="Q35" s="665"/>
      <c r="R35" s="677"/>
      <c r="S35" s="679"/>
    </row>
    <row r="36" spans="2:19" hidden="1" x14ac:dyDescent="0.2">
      <c r="B36" s="665"/>
      <c r="C36" s="672" t="s">
        <v>5</v>
      </c>
      <c r="D36" s="679"/>
      <c r="E36" s="661"/>
      <c r="F36" s="664"/>
      <c r="G36" s="673"/>
      <c r="H36" s="667"/>
      <c r="J36" s="676"/>
      <c r="L36" s="661"/>
      <c r="M36" s="664"/>
      <c r="N36" s="664"/>
      <c r="O36" s="665"/>
      <c r="P36" s="673"/>
      <c r="Q36" s="678"/>
      <c r="R36" s="677"/>
      <c r="S36" s="679"/>
    </row>
    <row r="37" spans="2:19" hidden="1" x14ac:dyDescent="0.2">
      <c r="B37" s="665"/>
      <c r="C37" s="672" t="s">
        <v>787</v>
      </c>
      <c r="D37" s="679"/>
      <c r="E37" s="661">
        <v>1</v>
      </c>
      <c r="F37" s="664" t="s">
        <v>309</v>
      </c>
      <c r="G37" s="673">
        <v>1000000</v>
      </c>
      <c r="H37" s="667">
        <f>E37*G37</f>
        <v>1000000</v>
      </c>
      <c r="J37" s="676"/>
      <c r="L37" s="661"/>
      <c r="M37" s="664"/>
      <c r="N37" s="664"/>
      <c r="O37" s="665"/>
      <c r="P37" s="673"/>
      <c r="Q37" s="678"/>
      <c r="R37" s="677"/>
      <c r="S37" s="679"/>
    </row>
    <row r="38" spans="2:19" ht="15" hidden="1" x14ac:dyDescent="0.25">
      <c r="B38" s="665"/>
      <c r="C38" s="672"/>
      <c r="D38" s="679"/>
      <c r="E38" s="661"/>
      <c r="F38" s="664"/>
      <c r="G38" s="673"/>
      <c r="H38" s="681"/>
      <c r="J38" s="676"/>
      <c r="L38" s="661"/>
      <c r="M38" s="664"/>
      <c r="N38" s="664"/>
      <c r="O38" s="665"/>
      <c r="P38" s="673"/>
      <c r="Q38" s="678"/>
      <c r="R38" s="677"/>
      <c r="S38" s="679"/>
    </row>
    <row r="39" spans="2:19" hidden="1" x14ac:dyDescent="0.2">
      <c r="B39" s="665"/>
      <c r="C39" s="672"/>
      <c r="D39" s="679"/>
      <c r="E39" s="661"/>
      <c r="F39" s="664"/>
      <c r="G39" s="673"/>
      <c r="H39" s="667"/>
      <c r="J39" s="676"/>
      <c r="L39" s="661"/>
      <c r="M39" s="664"/>
      <c r="N39" s="664"/>
      <c r="O39" s="665"/>
      <c r="P39" s="673"/>
      <c r="Q39" s="678"/>
      <c r="R39" s="677"/>
      <c r="S39" s="679"/>
    </row>
    <row r="40" spans="2:19" ht="15" hidden="1" x14ac:dyDescent="0.25">
      <c r="B40" s="660"/>
      <c r="C40" s="672" t="s">
        <v>15</v>
      </c>
      <c r="D40" s="679"/>
      <c r="E40" s="661"/>
      <c r="F40" s="664"/>
      <c r="G40" s="673"/>
      <c r="H40" s="667"/>
      <c r="J40" s="676"/>
      <c r="L40" s="661"/>
      <c r="M40" s="664"/>
      <c r="N40" s="664"/>
      <c r="O40" s="665"/>
      <c r="P40" s="673"/>
      <c r="Q40" s="678"/>
      <c r="R40" s="659"/>
      <c r="S40" s="679"/>
    </row>
    <row r="41" spans="2:19" ht="15" hidden="1" x14ac:dyDescent="0.25">
      <c r="B41" s="660"/>
      <c r="C41" s="672" t="s">
        <v>17</v>
      </c>
      <c r="D41" s="679"/>
      <c r="E41" s="661">
        <v>0.44</v>
      </c>
      <c r="F41" s="671" t="s">
        <v>16</v>
      </c>
      <c r="G41" s="674">
        <f>'[5]DAFTAR UPAH'!$G$14</f>
        <v>96000</v>
      </c>
      <c r="H41" s="667">
        <f>E41*G41</f>
        <v>42240</v>
      </c>
      <c r="J41" s="671"/>
      <c r="L41" s="661"/>
      <c r="M41" s="1563"/>
      <c r="N41" s="1563"/>
      <c r="O41" s="1563"/>
      <c r="P41" s="1563"/>
      <c r="Q41" s="678"/>
      <c r="R41" s="677"/>
      <c r="S41" s="679"/>
    </row>
    <row r="42" spans="2:19" ht="15" hidden="1" x14ac:dyDescent="0.25">
      <c r="B42" s="660"/>
      <c r="C42" s="672" t="s">
        <v>788</v>
      </c>
      <c r="D42" s="679"/>
      <c r="E42" s="661">
        <v>0.44</v>
      </c>
      <c r="F42" s="671" t="s">
        <v>16</v>
      </c>
      <c r="G42" s="674">
        <f>'[5]DAFTAR UPAH'!$G$13</f>
        <v>115000</v>
      </c>
      <c r="H42" s="667">
        <f>E42*G42</f>
        <v>50600</v>
      </c>
      <c r="J42" s="671"/>
      <c r="L42" s="682"/>
      <c r="M42" s="662"/>
      <c r="N42" s="662"/>
      <c r="O42" s="662"/>
      <c r="P42" s="662"/>
      <c r="Q42" s="664"/>
      <c r="R42" s="659"/>
      <c r="S42" s="679"/>
    </row>
    <row r="43" spans="2:19" ht="15" hidden="1" x14ac:dyDescent="0.25">
      <c r="B43" s="660"/>
      <c r="C43" s="672" t="s">
        <v>93</v>
      </c>
      <c r="D43" s="679"/>
      <c r="E43" s="661">
        <v>4.3999999999999997E-2</v>
      </c>
      <c r="F43" s="671" t="s">
        <v>16</v>
      </c>
      <c r="G43" s="674">
        <f>'[5]DAFTAR UPAH'!$G$12</f>
        <v>127500</v>
      </c>
      <c r="H43" s="667">
        <f>E43*G43</f>
        <v>5610</v>
      </c>
      <c r="J43" s="665"/>
      <c r="K43" s="665"/>
      <c r="L43" s="682"/>
      <c r="M43" s="662"/>
      <c r="N43" s="662"/>
      <c r="O43" s="662"/>
      <c r="P43" s="662"/>
      <c r="Q43" s="664"/>
      <c r="R43" s="659"/>
      <c r="S43" s="679"/>
    </row>
    <row r="44" spans="2:19" ht="15" hidden="1" x14ac:dyDescent="0.25">
      <c r="B44" s="660"/>
      <c r="C44" s="672" t="s">
        <v>19</v>
      </c>
      <c r="D44" s="665"/>
      <c r="E44" s="661">
        <v>2.1999999999999999E-2</v>
      </c>
      <c r="F44" s="671" t="s">
        <v>16</v>
      </c>
      <c r="G44" s="674">
        <f>'[5]DAFTAR UPAH'!$G$11</f>
        <v>115000</v>
      </c>
      <c r="H44" s="667">
        <f>E44*G44</f>
        <v>2530</v>
      </c>
      <c r="I44" s="669"/>
      <c r="J44" s="672"/>
      <c r="K44" s="672"/>
      <c r="L44" s="683"/>
      <c r="M44" s="684"/>
      <c r="N44" s="684"/>
      <c r="O44" s="684"/>
      <c r="P44" s="675"/>
      <c r="Q44" s="671"/>
      <c r="R44" s="659"/>
    </row>
    <row r="45" spans="2:19" ht="15.75" hidden="1" thickBot="1" x14ac:dyDescent="0.3">
      <c r="B45" s="660"/>
      <c r="C45" s="665"/>
      <c r="D45" s="665"/>
      <c r="E45" s="661"/>
      <c r="F45" s="679"/>
      <c r="G45" s="662"/>
      <c r="H45" s="667">
        <f>SUM(H41:H44)</f>
        <v>100980</v>
      </c>
      <c r="I45" s="669"/>
      <c r="J45" s="672"/>
      <c r="K45" s="669"/>
      <c r="L45" s="670"/>
      <c r="M45" s="671"/>
      <c r="N45" s="671"/>
      <c r="O45" s="672"/>
      <c r="P45" s="675"/>
      <c r="Q45" s="676"/>
      <c r="R45" s="677"/>
    </row>
    <row r="46" spans="2:19" ht="15.75" hidden="1" thickBot="1" x14ac:dyDescent="0.3">
      <c r="B46" s="660"/>
      <c r="C46" s="665"/>
      <c r="D46" s="665"/>
      <c r="E46" s="682"/>
      <c r="F46" s="662"/>
      <c r="G46" s="662" t="s">
        <v>784</v>
      </c>
      <c r="H46" s="668">
        <f>SUM(H45,H37)</f>
        <v>1100980</v>
      </c>
      <c r="I46" s="669"/>
      <c r="J46" s="672"/>
      <c r="K46" s="672"/>
      <c r="L46" s="670"/>
      <c r="M46" s="664"/>
      <c r="N46" s="664"/>
      <c r="O46" s="665"/>
      <c r="P46" s="673"/>
      <c r="Q46" s="678"/>
      <c r="R46" s="677"/>
      <c r="S46" s="679"/>
    </row>
    <row r="47" spans="2:19" ht="15.75" hidden="1" thickBot="1" x14ac:dyDescent="0.3">
      <c r="B47" s="660"/>
      <c r="C47" s="665"/>
      <c r="D47" s="665"/>
      <c r="E47" s="682"/>
      <c r="F47" s="662" t="s">
        <v>785</v>
      </c>
      <c r="G47" s="680">
        <f>$I$6</f>
        <v>0.15</v>
      </c>
      <c r="H47" s="668">
        <f>H46*G47</f>
        <v>165147</v>
      </c>
      <c r="I47" s="660"/>
      <c r="J47" s="672"/>
      <c r="K47" s="672"/>
      <c r="L47" s="670"/>
      <c r="M47" s="664"/>
      <c r="N47" s="664"/>
      <c r="O47" s="665"/>
      <c r="P47" s="673"/>
      <c r="Q47" s="664"/>
      <c r="R47" s="677"/>
      <c r="S47" s="679"/>
    </row>
    <row r="48" spans="2:19" ht="15.75" hidden="1" thickBot="1" x14ac:dyDescent="0.3">
      <c r="B48" s="679"/>
      <c r="C48" s="679"/>
      <c r="D48" s="679"/>
      <c r="E48" s="679"/>
      <c r="F48" s="679"/>
      <c r="G48" s="662" t="s">
        <v>780</v>
      </c>
      <c r="H48" s="668">
        <f>H47+H46</f>
        <v>1266127</v>
      </c>
      <c r="I48" s="660"/>
      <c r="J48" s="672"/>
      <c r="K48" s="672"/>
      <c r="L48" s="670"/>
      <c r="M48" s="664"/>
      <c r="N48" s="664"/>
      <c r="O48" s="665"/>
      <c r="P48" s="673"/>
      <c r="Q48" s="664"/>
      <c r="R48" s="677"/>
      <c r="S48" s="679"/>
    </row>
    <row r="49" spans="2:19" ht="15" hidden="1" x14ac:dyDescent="0.25">
      <c r="B49" s="679"/>
      <c r="C49" s="679"/>
      <c r="D49" s="679"/>
      <c r="E49" s="679"/>
      <c r="F49" s="679"/>
      <c r="G49" s="685"/>
      <c r="H49" s="686"/>
      <c r="I49" s="660"/>
      <c r="J49" s="672"/>
      <c r="K49" s="672"/>
      <c r="L49" s="670"/>
      <c r="M49" s="664"/>
      <c r="N49" s="664"/>
      <c r="O49" s="665"/>
      <c r="P49" s="673"/>
      <c r="Q49" s="664"/>
      <c r="R49" s="659"/>
      <c r="S49" s="679"/>
    </row>
    <row r="50" spans="2:19" ht="15" hidden="1" x14ac:dyDescent="0.25">
      <c r="B50" s="660" t="s">
        <v>789</v>
      </c>
      <c r="C50" s="660" t="s">
        <v>790</v>
      </c>
      <c r="D50" s="679"/>
      <c r="E50" s="661"/>
      <c r="F50" s="664"/>
      <c r="G50" s="662"/>
      <c r="H50" s="667"/>
      <c r="I50" s="660"/>
      <c r="J50" s="672"/>
      <c r="K50" s="672"/>
      <c r="L50" s="670"/>
      <c r="M50" s="664"/>
      <c r="N50" s="664"/>
      <c r="O50" s="665"/>
      <c r="P50" s="673"/>
      <c r="Q50" s="665"/>
      <c r="R50" s="677"/>
      <c r="S50" s="679"/>
    </row>
    <row r="51" spans="2:19" ht="15" hidden="1" x14ac:dyDescent="0.25">
      <c r="B51" s="665"/>
      <c r="C51" s="672" t="s">
        <v>5</v>
      </c>
      <c r="D51" s="679"/>
      <c r="E51" s="661"/>
      <c r="F51" s="664"/>
      <c r="G51" s="673"/>
      <c r="H51" s="667"/>
      <c r="I51" s="660"/>
      <c r="J51" s="672"/>
      <c r="K51" s="672"/>
      <c r="L51" s="670"/>
      <c r="M51" s="664"/>
      <c r="N51" s="664"/>
      <c r="O51" s="665"/>
      <c r="P51" s="673"/>
      <c r="Q51" s="678"/>
      <c r="R51" s="677"/>
      <c r="S51" s="679"/>
    </row>
    <row r="52" spans="2:19" ht="15" hidden="1" x14ac:dyDescent="0.25">
      <c r="B52" s="665"/>
      <c r="C52" s="672" t="s">
        <v>791</v>
      </c>
      <c r="D52" s="679"/>
      <c r="E52" s="661">
        <v>1</v>
      </c>
      <c r="F52" s="664" t="s">
        <v>309</v>
      </c>
      <c r="G52" s="673">
        <v>675000</v>
      </c>
      <c r="H52" s="667">
        <f>E52*G52</f>
        <v>675000</v>
      </c>
      <c r="I52" s="660"/>
      <c r="J52" s="672"/>
      <c r="K52" s="672"/>
      <c r="L52" s="670"/>
      <c r="M52" s="664"/>
      <c r="N52" s="664"/>
      <c r="O52" s="665"/>
      <c r="P52" s="673"/>
      <c r="Q52" s="678"/>
      <c r="R52" s="677"/>
      <c r="S52" s="679"/>
    </row>
    <row r="53" spans="2:19" ht="15" hidden="1" x14ac:dyDescent="0.25">
      <c r="B53" s="665"/>
      <c r="C53" s="672"/>
      <c r="D53" s="679"/>
      <c r="E53" s="661"/>
      <c r="F53" s="664"/>
      <c r="G53" s="673"/>
      <c r="H53" s="681"/>
      <c r="I53" s="660"/>
      <c r="J53" s="672"/>
      <c r="K53" s="672"/>
      <c r="L53" s="670"/>
      <c r="M53" s="664"/>
      <c r="N53" s="664"/>
      <c r="O53" s="665"/>
      <c r="P53" s="673"/>
      <c r="Q53" s="678"/>
      <c r="R53" s="677"/>
      <c r="S53" s="679"/>
    </row>
    <row r="54" spans="2:19" ht="15" hidden="1" x14ac:dyDescent="0.25">
      <c r="B54" s="665"/>
      <c r="C54" s="672"/>
      <c r="D54" s="679"/>
      <c r="E54" s="661"/>
      <c r="F54" s="664"/>
      <c r="G54" s="673"/>
      <c r="H54" s="667"/>
      <c r="I54" s="660"/>
      <c r="J54" s="672"/>
      <c r="K54" s="672"/>
      <c r="L54" s="670"/>
      <c r="M54" s="664"/>
      <c r="N54" s="664"/>
      <c r="O54" s="665"/>
      <c r="P54" s="673"/>
      <c r="Q54" s="678"/>
      <c r="R54" s="677"/>
      <c r="S54" s="679"/>
    </row>
    <row r="55" spans="2:19" ht="15" hidden="1" x14ac:dyDescent="0.25">
      <c r="B55" s="660"/>
      <c r="C55" s="672" t="s">
        <v>15</v>
      </c>
      <c r="D55" s="679"/>
      <c r="E55" s="661"/>
      <c r="F55" s="664"/>
      <c r="G55" s="673"/>
      <c r="H55" s="667"/>
      <c r="I55" s="660"/>
      <c r="J55" s="672"/>
      <c r="K55" s="672"/>
      <c r="L55" s="670"/>
      <c r="M55" s="664"/>
      <c r="N55" s="664"/>
      <c r="O55" s="665"/>
      <c r="P55" s="673"/>
      <c r="Q55" s="678"/>
      <c r="R55" s="659"/>
      <c r="S55" s="679"/>
    </row>
    <row r="56" spans="2:19" ht="15" hidden="1" x14ac:dyDescent="0.25">
      <c r="B56" s="660"/>
      <c r="C56" s="672" t="s">
        <v>17</v>
      </c>
      <c r="D56" s="679"/>
      <c r="E56" s="661">
        <v>0.65</v>
      </c>
      <c r="F56" s="671" t="s">
        <v>16</v>
      </c>
      <c r="G56" s="674">
        <f>'[5]DAFTAR UPAH'!$G$14</f>
        <v>96000</v>
      </c>
      <c r="H56" s="667">
        <f>E56*G56</f>
        <v>62400</v>
      </c>
      <c r="I56" s="660"/>
      <c r="J56" s="672"/>
      <c r="K56" s="672"/>
      <c r="L56" s="670"/>
      <c r="M56" s="1563"/>
      <c r="N56" s="1563"/>
      <c r="O56" s="1563"/>
      <c r="P56" s="1563"/>
      <c r="Q56" s="678"/>
      <c r="R56" s="659"/>
      <c r="S56" s="679"/>
    </row>
    <row r="57" spans="2:19" ht="15" hidden="1" x14ac:dyDescent="0.25">
      <c r="B57" s="660"/>
      <c r="C57" s="672" t="s">
        <v>788</v>
      </c>
      <c r="D57" s="679"/>
      <c r="E57" s="661">
        <v>0.65</v>
      </c>
      <c r="F57" s="671" t="s">
        <v>16</v>
      </c>
      <c r="G57" s="674">
        <f>'[5]DAFTAR UPAH'!$G$13</f>
        <v>115000</v>
      </c>
      <c r="H57" s="667">
        <f>E57*G57</f>
        <v>74750</v>
      </c>
      <c r="I57" s="660"/>
      <c r="J57" s="672"/>
      <c r="K57" s="672"/>
      <c r="L57" s="683"/>
      <c r="M57" s="662"/>
      <c r="N57" s="662"/>
      <c r="O57" s="662"/>
      <c r="P57" s="662"/>
      <c r="Q57" s="664"/>
      <c r="R57" s="659"/>
      <c r="S57" s="679"/>
    </row>
    <row r="58" spans="2:19" ht="15" hidden="1" x14ac:dyDescent="0.25">
      <c r="B58" s="660"/>
      <c r="C58" s="672" t="s">
        <v>93</v>
      </c>
      <c r="D58" s="679"/>
      <c r="E58" s="661">
        <v>6.5000000000000002E-2</v>
      </c>
      <c r="F58" s="671" t="s">
        <v>16</v>
      </c>
      <c r="G58" s="674">
        <f>'[5]DAFTAR UPAH'!$G$12</f>
        <v>127500</v>
      </c>
      <c r="H58" s="667">
        <f>E58*G58</f>
        <v>8287.5</v>
      </c>
      <c r="I58" s="660"/>
      <c r="J58" s="672"/>
      <c r="K58" s="672"/>
      <c r="L58" s="683"/>
      <c r="M58" s="662"/>
      <c r="N58" s="662"/>
      <c r="O58" s="662"/>
      <c r="P58" s="662"/>
      <c r="Q58" s="664"/>
      <c r="R58" s="659"/>
      <c r="S58" s="679"/>
    </row>
    <row r="59" spans="2:19" ht="15" hidden="1" x14ac:dyDescent="0.25">
      <c r="B59" s="660"/>
      <c r="C59" s="672" t="s">
        <v>19</v>
      </c>
      <c r="D59" s="665"/>
      <c r="E59" s="661">
        <v>3.2000000000000001E-2</v>
      </c>
      <c r="F59" s="671" t="s">
        <v>16</v>
      </c>
      <c r="G59" s="674">
        <f>'[5]DAFTAR UPAH'!$G$11</f>
        <v>115000</v>
      </c>
      <c r="H59" s="667">
        <f>E59*G59</f>
        <v>3680</v>
      </c>
      <c r="I59" s="660"/>
      <c r="J59" s="672"/>
      <c r="K59" s="672"/>
      <c r="L59" s="683"/>
      <c r="M59" s="662"/>
      <c r="N59" s="662"/>
      <c r="O59" s="662"/>
      <c r="P59" s="673"/>
      <c r="Q59" s="664"/>
      <c r="R59" s="659"/>
      <c r="S59" s="679"/>
    </row>
    <row r="60" spans="2:19" ht="15.75" hidden="1" thickBot="1" x14ac:dyDescent="0.3">
      <c r="B60" s="660"/>
      <c r="C60" s="665"/>
      <c r="D60" s="665"/>
      <c r="E60" s="661"/>
      <c r="F60" s="679"/>
      <c r="G60" s="662"/>
      <c r="H60" s="667">
        <f>SUM(H56:H59)</f>
        <v>149117.5</v>
      </c>
      <c r="I60" s="660"/>
      <c r="J60" s="672"/>
      <c r="K60" s="672"/>
      <c r="L60" s="683"/>
      <c r="M60" s="662"/>
      <c r="N60" s="662"/>
      <c r="O60" s="662"/>
      <c r="P60" s="673"/>
      <c r="Q60" s="664"/>
      <c r="R60" s="659"/>
      <c r="S60" s="679"/>
    </row>
    <row r="61" spans="2:19" ht="15.75" hidden="1" thickBot="1" x14ac:dyDescent="0.3">
      <c r="B61" s="660"/>
      <c r="C61" s="665"/>
      <c r="D61" s="665"/>
      <c r="E61" s="682"/>
      <c r="F61" s="662"/>
      <c r="G61" s="662" t="s">
        <v>784</v>
      </c>
      <c r="H61" s="668">
        <f>SUM(H60,H52)</f>
        <v>824117.5</v>
      </c>
      <c r="I61" s="669"/>
      <c r="J61" s="672"/>
      <c r="K61" s="672"/>
      <c r="L61" s="683"/>
      <c r="M61" s="662"/>
      <c r="N61" s="662"/>
      <c r="O61" s="662"/>
      <c r="P61" s="673"/>
      <c r="Q61" s="664"/>
      <c r="R61" s="659"/>
      <c r="S61" s="679"/>
    </row>
    <row r="62" spans="2:19" ht="15.75" hidden="1" thickBot="1" x14ac:dyDescent="0.3">
      <c r="B62" s="660"/>
      <c r="C62" s="665"/>
      <c r="D62" s="665"/>
      <c r="E62" s="682"/>
      <c r="F62" s="662" t="s">
        <v>785</v>
      </c>
      <c r="G62" s="680">
        <f>$I$6</f>
        <v>0.15</v>
      </c>
      <c r="H62" s="668">
        <f>H61*G62</f>
        <v>123617.625</v>
      </c>
      <c r="I62" s="669"/>
      <c r="J62" s="669"/>
      <c r="L62" s="670"/>
      <c r="M62" s="664"/>
      <c r="N62" s="664"/>
      <c r="O62" s="665"/>
      <c r="P62" s="673"/>
      <c r="Q62" s="678"/>
      <c r="R62" s="677"/>
      <c r="S62" s="679"/>
    </row>
    <row r="63" spans="2:19" ht="15.75" hidden="1" thickBot="1" x14ac:dyDescent="0.3">
      <c r="B63" s="679"/>
      <c r="C63" s="679"/>
      <c r="D63" s="679"/>
      <c r="E63" s="679"/>
      <c r="F63" s="679"/>
      <c r="G63" s="662" t="s">
        <v>780</v>
      </c>
      <c r="H63" s="668">
        <f>H62+H61</f>
        <v>947735.125</v>
      </c>
      <c r="I63" s="671"/>
      <c r="J63" s="672"/>
      <c r="L63" s="670"/>
      <c r="M63" s="664"/>
      <c r="N63" s="664"/>
      <c r="O63" s="665"/>
      <c r="P63" s="673"/>
      <c r="Q63" s="678"/>
      <c r="R63" s="677"/>
      <c r="S63" s="679"/>
    </row>
    <row r="64" spans="2:19" hidden="1" x14ac:dyDescent="0.2">
      <c r="G64" s="662"/>
      <c r="H64" s="667"/>
      <c r="I64" s="671"/>
      <c r="J64" s="672"/>
      <c r="M64" s="679"/>
      <c r="N64" s="661"/>
      <c r="O64" s="664"/>
      <c r="P64" s="673"/>
      <c r="Q64" s="677"/>
      <c r="R64" s="679"/>
      <c r="S64" s="679"/>
    </row>
    <row r="65" spans="2:19" ht="15" hidden="1" x14ac:dyDescent="0.25">
      <c r="B65" s="687" t="s">
        <v>792</v>
      </c>
      <c r="C65" s="687" t="s">
        <v>793</v>
      </c>
      <c r="G65" s="662"/>
      <c r="H65" s="667"/>
      <c r="I65" s="671"/>
      <c r="J65" s="672"/>
      <c r="M65" s="679"/>
      <c r="N65" s="661"/>
      <c r="O65" s="664"/>
      <c r="P65" s="673"/>
      <c r="Q65" s="677"/>
      <c r="R65" s="679"/>
      <c r="S65" s="679"/>
    </row>
    <row r="66" spans="2:19" ht="15" hidden="1" x14ac:dyDescent="0.25">
      <c r="B66" s="655" t="s">
        <v>556</v>
      </c>
      <c r="C66" s="655" t="s">
        <v>794</v>
      </c>
      <c r="I66" s="671"/>
      <c r="J66" s="672"/>
      <c r="M66" s="679"/>
      <c r="N66" s="661"/>
      <c r="O66" s="664"/>
      <c r="P66" s="673"/>
      <c r="Q66" s="659"/>
      <c r="R66" s="679"/>
      <c r="S66" s="679"/>
    </row>
    <row r="67" spans="2:19" hidden="1" x14ac:dyDescent="0.2">
      <c r="C67" s="655" t="s">
        <v>17</v>
      </c>
      <c r="E67" s="655">
        <v>0.09</v>
      </c>
      <c r="F67" s="688" t="s">
        <v>242</v>
      </c>
      <c r="G67" s="689">
        <f>'[5]DAFTAR UPAH'!$G$14</f>
        <v>96000</v>
      </c>
      <c r="H67" s="667">
        <f>E67*G67</f>
        <v>8640</v>
      </c>
      <c r="I67" s="671"/>
      <c r="J67" s="672"/>
      <c r="M67" s="679"/>
      <c r="N67" s="661"/>
      <c r="O67" s="664"/>
      <c r="P67" s="673"/>
      <c r="Q67" s="677"/>
      <c r="R67" s="679"/>
      <c r="S67" s="679"/>
    </row>
    <row r="68" spans="2:19" hidden="1" x14ac:dyDescent="0.2">
      <c r="C68" s="655" t="s">
        <v>795</v>
      </c>
      <c r="E68" s="655">
        <v>0.09</v>
      </c>
      <c r="F68" s="688" t="s">
        <v>242</v>
      </c>
      <c r="G68" s="689">
        <f>'[5]DAFTAR UPAH'!$G$13</f>
        <v>115000</v>
      </c>
      <c r="H68" s="667">
        <f>E68*G68</f>
        <v>10350</v>
      </c>
      <c r="I68" s="671"/>
      <c r="J68" s="672"/>
      <c r="M68" s="679"/>
      <c r="N68" s="661"/>
      <c r="O68" s="664"/>
      <c r="P68" s="673"/>
      <c r="Q68" s="677"/>
      <c r="R68" s="679"/>
      <c r="S68" s="679"/>
    </row>
    <row r="69" spans="2:19" hidden="1" x14ac:dyDescent="0.2">
      <c r="C69" s="655" t="s">
        <v>796</v>
      </c>
      <c r="E69" s="655">
        <v>8.9999999999999993E-3</v>
      </c>
      <c r="F69" s="688" t="s">
        <v>242</v>
      </c>
      <c r="G69" s="689">
        <f>'[5]DAFTAR UPAH'!$G$12</f>
        <v>127500</v>
      </c>
      <c r="H69" s="667">
        <f>E69*G69</f>
        <v>1147.5</v>
      </c>
      <c r="I69" s="672"/>
      <c r="J69" s="672"/>
      <c r="M69" s="679"/>
      <c r="N69" s="661"/>
      <c r="O69" s="664"/>
      <c r="P69" s="673"/>
      <c r="Q69" s="677"/>
      <c r="R69" s="679"/>
      <c r="S69" s="679"/>
    </row>
    <row r="70" spans="2:19" hidden="1" x14ac:dyDescent="0.2">
      <c r="C70" s="655" t="s">
        <v>19</v>
      </c>
      <c r="E70" s="655">
        <v>5.0000000000000001E-3</v>
      </c>
      <c r="F70" s="688" t="s">
        <v>242</v>
      </c>
      <c r="G70" s="689">
        <f>'[5]DAFTAR UPAH'!$G$11</f>
        <v>115000</v>
      </c>
      <c r="H70" s="667">
        <f>E70*G70</f>
        <v>575</v>
      </c>
      <c r="I70" s="672"/>
      <c r="J70" s="672"/>
      <c r="M70" s="679"/>
      <c r="N70" s="661"/>
      <c r="O70" s="664"/>
      <c r="P70" s="673"/>
      <c r="Q70" s="677"/>
      <c r="R70" s="679"/>
      <c r="S70" s="679"/>
    </row>
    <row r="71" spans="2:19" hidden="1" x14ac:dyDescent="0.2">
      <c r="F71" s="688"/>
      <c r="G71" s="656" t="s">
        <v>0</v>
      </c>
      <c r="H71" s="657">
        <f>SUM(H67:H70)</f>
        <v>20712.5</v>
      </c>
      <c r="I71" s="672"/>
      <c r="J71" s="672"/>
      <c r="M71" s="679"/>
      <c r="N71" s="661"/>
      <c r="O71" s="664"/>
      <c r="P71" s="673"/>
      <c r="Q71" s="677"/>
      <c r="R71" s="679"/>
      <c r="S71" s="679"/>
    </row>
    <row r="72" spans="2:19" ht="15" hidden="1" x14ac:dyDescent="0.25">
      <c r="B72" s="655" t="s">
        <v>1</v>
      </c>
      <c r="C72" s="655" t="s">
        <v>150</v>
      </c>
      <c r="F72" s="688"/>
      <c r="I72" s="660"/>
      <c r="J72" s="672"/>
      <c r="K72" s="672"/>
      <c r="L72" s="670"/>
      <c r="M72" s="664"/>
      <c r="N72" s="664"/>
      <c r="O72" s="665"/>
      <c r="P72" s="673"/>
      <c r="Q72" s="678"/>
      <c r="R72" s="659"/>
      <c r="S72" s="679"/>
    </row>
    <row r="73" spans="2:19" ht="15" hidden="1" x14ac:dyDescent="0.25">
      <c r="C73" s="655" t="s">
        <v>797</v>
      </c>
      <c r="E73" s="655">
        <v>1.7</v>
      </c>
      <c r="F73" s="688" t="s">
        <v>58</v>
      </c>
      <c r="G73" s="689">
        <f>+[5]H.SATUAN!D83</f>
        <v>8415</v>
      </c>
      <c r="H73" s="667">
        <f>E73*G73</f>
        <v>14305.5</v>
      </c>
      <c r="I73" s="660"/>
      <c r="J73" s="672"/>
      <c r="K73" s="672"/>
      <c r="L73" s="670"/>
      <c r="M73" s="1563"/>
      <c r="N73" s="1563"/>
      <c r="O73" s="1563"/>
      <c r="P73" s="1563"/>
      <c r="Q73" s="678"/>
      <c r="R73" s="659"/>
      <c r="S73" s="679"/>
    </row>
    <row r="74" spans="2:19" ht="15" hidden="1" x14ac:dyDescent="0.25">
      <c r="C74" s="655" t="s">
        <v>59</v>
      </c>
      <c r="E74" s="655">
        <v>1.1399999999999999</v>
      </c>
      <c r="F74" s="688" t="s">
        <v>12</v>
      </c>
      <c r="G74" s="689">
        <f>+[5]H.SATUAN!D36</f>
        <v>1250</v>
      </c>
      <c r="H74" s="667">
        <f>E74*G74</f>
        <v>1424.9999999999998</v>
      </c>
      <c r="I74" s="660"/>
      <c r="J74" s="672"/>
      <c r="K74" s="672"/>
      <c r="L74" s="683"/>
      <c r="M74" s="662"/>
      <c r="N74" s="662"/>
      <c r="O74" s="662"/>
      <c r="P74" s="662"/>
      <c r="Q74" s="664"/>
      <c r="R74" s="659"/>
      <c r="S74" s="679"/>
    </row>
    <row r="75" spans="2:19" ht="15" hidden="1" x14ac:dyDescent="0.25">
      <c r="C75" s="655" t="s">
        <v>158</v>
      </c>
      <c r="E75" s="655">
        <v>0.1</v>
      </c>
      <c r="F75" s="688" t="s">
        <v>12</v>
      </c>
      <c r="G75" s="689">
        <f>+[5]H.SATUAN!D34</f>
        <v>3187.5</v>
      </c>
      <c r="H75" s="667">
        <f>E75*G75</f>
        <v>318.75</v>
      </c>
      <c r="I75" s="660"/>
      <c r="J75" s="672"/>
      <c r="K75" s="672"/>
      <c r="L75" s="683"/>
      <c r="M75" s="662"/>
      <c r="N75" s="662"/>
      <c r="O75" s="662"/>
      <c r="P75" s="662"/>
      <c r="Q75" s="664"/>
      <c r="R75" s="659"/>
      <c r="S75" s="679"/>
    </row>
    <row r="76" spans="2:19" ht="15" hidden="1" x14ac:dyDescent="0.25">
      <c r="C76" s="655" t="s">
        <v>49</v>
      </c>
      <c r="E76" s="655">
        <v>3.0000000000000001E-3</v>
      </c>
      <c r="F76" s="688" t="s">
        <v>756</v>
      </c>
      <c r="G76" s="689">
        <f>+[5]H.SATUAN!D30</f>
        <v>128571.42857142857</v>
      </c>
      <c r="H76" s="667">
        <f>E76*G76</f>
        <v>385.71428571428572</v>
      </c>
      <c r="I76" s="669"/>
      <c r="J76" s="672"/>
      <c r="K76" s="672"/>
      <c r="L76" s="670"/>
      <c r="M76" s="664"/>
      <c r="N76" s="664"/>
      <c r="O76" s="665"/>
      <c r="P76" s="673"/>
      <c r="Q76" s="659"/>
      <c r="R76" s="679"/>
      <c r="S76" s="679"/>
    </row>
    <row r="77" spans="2:19" ht="15.75" hidden="1" thickBot="1" x14ac:dyDescent="0.3">
      <c r="B77" s="660"/>
      <c r="C77" s="665"/>
      <c r="D77" s="665"/>
      <c r="E77" s="661"/>
      <c r="F77" s="679"/>
      <c r="G77" s="662"/>
      <c r="H77" s="667">
        <f>SUM(H73:H76)</f>
        <v>16434.964285714286</v>
      </c>
      <c r="I77" s="669"/>
      <c r="J77" s="672"/>
      <c r="K77" s="672"/>
      <c r="L77" s="670"/>
      <c r="M77" s="1563"/>
      <c r="N77" s="1563"/>
      <c r="O77" s="1563"/>
      <c r="P77" s="1563"/>
      <c r="Q77" s="659"/>
      <c r="R77" s="679"/>
      <c r="S77" s="679"/>
    </row>
    <row r="78" spans="2:19" ht="15.75" hidden="1" thickBot="1" x14ac:dyDescent="0.3">
      <c r="B78" s="660"/>
      <c r="C78" s="665"/>
      <c r="D78" s="665"/>
      <c r="E78" s="682"/>
      <c r="F78" s="662"/>
      <c r="G78" s="662" t="s">
        <v>784</v>
      </c>
      <c r="H78" s="668">
        <f>SUM(H77,H71)</f>
        <v>37147.46428571429</v>
      </c>
      <c r="I78" s="669"/>
      <c r="J78" s="672"/>
      <c r="K78" s="672"/>
      <c r="L78" s="683"/>
      <c r="M78" s="662"/>
      <c r="N78" s="662"/>
      <c r="O78" s="662"/>
      <c r="P78" s="662"/>
      <c r="Q78" s="659"/>
      <c r="R78" s="679"/>
      <c r="S78" s="679"/>
    </row>
    <row r="79" spans="2:19" ht="15.75" hidden="1" thickBot="1" x14ac:dyDescent="0.3">
      <c r="B79" s="660"/>
      <c r="C79" s="665"/>
      <c r="D79" s="665"/>
      <c r="E79" s="682"/>
      <c r="F79" s="662" t="s">
        <v>785</v>
      </c>
      <c r="G79" s="680">
        <f>$I$6</f>
        <v>0.15</v>
      </c>
      <c r="H79" s="668">
        <f>H78*G79</f>
        <v>5572.1196428571429</v>
      </c>
      <c r="I79" s="669"/>
      <c r="J79" s="672"/>
      <c r="K79" s="672"/>
      <c r="L79" s="683"/>
      <c r="M79" s="662"/>
      <c r="N79" s="662"/>
      <c r="O79" s="662"/>
      <c r="P79" s="662"/>
      <c r="Q79" s="659"/>
      <c r="R79" s="679"/>
      <c r="S79" s="679"/>
    </row>
    <row r="80" spans="2:19" ht="15.75" hidden="1" thickBot="1" x14ac:dyDescent="0.3">
      <c r="B80" s="679"/>
      <c r="C80" s="679"/>
      <c r="D80" s="679"/>
      <c r="E80" s="679"/>
      <c r="F80" s="679"/>
      <c r="G80" s="662" t="s">
        <v>780</v>
      </c>
      <c r="H80" s="668">
        <f>H79+H78</f>
        <v>42719.583928571432</v>
      </c>
      <c r="I80" s="669"/>
      <c r="J80" s="672"/>
      <c r="K80" s="672"/>
      <c r="L80" s="670"/>
      <c r="M80" s="664"/>
      <c r="N80" s="664"/>
      <c r="O80" s="665"/>
      <c r="P80" s="673"/>
      <c r="Q80" s="665"/>
      <c r="R80" s="677"/>
      <c r="S80" s="679"/>
    </row>
    <row r="81" spans="2:19" ht="15" hidden="1" x14ac:dyDescent="0.25">
      <c r="I81" s="669"/>
      <c r="J81" s="672"/>
      <c r="K81" s="669"/>
      <c r="L81" s="670"/>
      <c r="M81" s="664"/>
      <c r="N81" s="664"/>
      <c r="O81" s="665"/>
      <c r="P81" s="673"/>
      <c r="Q81" s="678"/>
      <c r="R81" s="677"/>
      <c r="S81" s="679"/>
    </row>
    <row r="82" spans="2:19" ht="15" hidden="1" x14ac:dyDescent="0.25">
      <c r="B82" s="687" t="s">
        <v>798</v>
      </c>
      <c r="C82" s="687" t="s">
        <v>799</v>
      </c>
      <c r="G82" s="662"/>
      <c r="H82" s="667"/>
      <c r="I82" s="669"/>
      <c r="J82" s="671"/>
      <c r="K82" s="672"/>
      <c r="L82" s="670"/>
      <c r="M82" s="664"/>
      <c r="N82" s="664"/>
      <c r="O82" s="665"/>
      <c r="P82" s="673"/>
      <c r="Q82" s="678"/>
      <c r="R82" s="677"/>
      <c r="S82" s="679"/>
    </row>
    <row r="83" spans="2:19" ht="15" hidden="1" x14ac:dyDescent="0.25">
      <c r="B83" s="655" t="s">
        <v>556</v>
      </c>
      <c r="C83" s="655" t="s">
        <v>794</v>
      </c>
      <c r="I83" s="669"/>
      <c r="J83" s="671"/>
      <c r="K83" s="672"/>
      <c r="L83" s="670"/>
      <c r="M83" s="664"/>
      <c r="N83" s="664"/>
      <c r="O83" s="665"/>
      <c r="P83" s="673"/>
      <c r="Q83" s="664"/>
      <c r="R83" s="677"/>
      <c r="S83" s="679"/>
    </row>
    <row r="84" spans="2:19" ht="15" hidden="1" x14ac:dyDescent="0.25">
      <c r="C84" s="690" t="s">
        <v>17</v>
      </c>
      <c r="E84" s="691">
        <v>0.1</v>
      </c>
      <c r="F84" s="688" t="s">
        <v>242</v>
      </c>
      <c r="G84" s="674">
        <f>'[5]DAFTAR UPAH'!$G$14</f>
        <v>96000</v>
      </c>
      <c r="H84" s="667">
        <f>E84*G84</f>
        <v>9600</v>
      </c>
      <c r="I84" s="669"/>
      <c r="J84" s="671"/>
      <c r="K84" s="672"/>
      <c r="L84" s="670"/>
      <c r="M84" s="664"/>
      <c r="N84" s="664"/>
      <c r="O84" s="665"/>
      <c r="P84" s="673"/>
      <c r="Q84" s="664"/>
      <c r="R84" s="677"/>
      <c r="S84" s="679"/>
    </row>
    <row r="85" spans="2:19" ht="15" hidden="1" x14ac:dyDescent="0.25">
      <c r="C85" s="690" t="s">
        <v>800</v>
      </c>
      <c r="E85" s="691">
        <v>0.05</v>
      </c>
      <c r="F85" s="688" t="s">
        <v>242</v>
      </c>
      <c r="G85" s="674">
        <f>'[5]DAFTAR UPAH'!$G$13</f>
        <v>115000</v>
      </c>
      <c r="H85" s="667">
        <f>E85*G85</f>
        <v>5750</v>
      </c>
      <c r="I85" s="669"/>
      <c r="J85" s="671"/>
      <c r="K85" s="672"/>
      <c r="L85" s="670"/>
      <c r="M85" s="664"/>
      <c r="N85" s="664"/>
      <c r="O85" s="665"/>
      <c r="P85" s="673"/>
      <c r="Q85" s="664"/>
      <c r="R85" s="659"/>
      <c r="S85" s="679"/>
    </row>
    <row r="86" spans="2:19" ht="15" hidden="1" x14ac:dyDescent="0.25">
      <c r="C86" s="690" t="s">
        <v>796</v>
      </c>
      <c r="E86" s="691">
        <v>5.0000000000000001E-3</v>
      </c>
      <c r="F86" s="688" t="s">
        <v>242</v>
      </c>
      <c r="G86" s="674">
        <f>'[5]DAFTAR UPAH'!$G$12</f>
        <v>127500</v>
      </c>
      <c r="H86" s="667">
        <f>E86*G86</f>
        <v>637.5</v>
      </c>
      <c r="I86" s="669"/>
      <c r="J86" s="672"/>
      <c r="K86" s="672"/>
      <c r="L86" s="670"/>
      <c r="M86" s="664"/>
      <c r="N86" s="664"/>
      <c r="O86" s="665"/>
      <c r="P86" s="673"/>
      <c r="Q86" s="678"/>
      <c r="R86" s="677"/>
      <c r="S86" s="679"/>
    </row>
    <row r="87" spans="2:19" ht="15" hidden="1" x14ac:dyDescent="0.25">
      <c r="C87" s="690" t="s">
        <v>19</v>
      </c>
      <c r="E87" s="691">
        <v>5.0000000000000001E-3</v>
      </c>
      <c r="F87" s="688" t="s">
        <v>242</v>
      </c>
      <c r="G87" s="674">
        <f>'[5]DAFTAR UPAH'!$G$11</f>
        <v>115000</v>
      </c>
      <c r="H87" s="667">
        <f>E87*G87</f>
        <v>575</v>
      </c>
      <c r="I87" s="669"/>
      <c r="J87" s="672"/>
      <c r="K87" s="672"/>
      <c r="L87" s="670"/>
      <c r="M87" s="664"/>
      <c r="N87" s="664"/>
      <c r="O87" s="665"/>
      <c r="P87" s="673"/>
      <c r="Q87" s="678"/>
      <c r="R87" s="677"/>
      <c r="S87" s="679"/>
    </row>
    <row r="88" spans="2:19" ht="15" hidden="1" x14ac:dyDescent="0.25">
      <c r="F88" s="688"/>
      <c r="G88" s="656" t="s">
        <v>0</v>
      </c>
      <c r="H88" s="657">
        <f>SUM(H84:H87)</f>
        <v>16562.5</v>
      </c>
      <c r="I88" s="669"/>
      <c r="J88" s="672"/>
      <c r="K88" s="672"/>
      <c r="L88" s="670"/>
      <c r="M88" s="664"/>
      <c r="N88" s="664"/>
      <c r="O88" s="665"/>
      <c r="P88" s="673"/>
      <c r="Q88" s="678"/>
      <c r="R88" s="659"/>
      <c r="S88" s="679"/>
    </row>
    <row r="89" spans="2:19" ht="15" hidden="1" x14ac:dyDescent="0.25">
      <c r="B89" s="655" t="s">
        <v>1</v>
      </c>
      <c r="C89" s="655" t="s">
        <v>150</v>
      </c>
      <c r="F89" s="688"/>
      <c r="I89" s="692"/>
      <c r="J89" s="672"/>
      <c r="K89" s="672"/>
      <c r="L89" s="670"/>
      <c r="M89" s="1563"/>
      <c r="N89" s="1563"/>
      <c r="O89" s="1563"/>
      <c r="P89" s="1563"/>
      <c r="Q89" s="678"/>
      <c r="R89" s="659"/>
      <c r="S89" s="679"/>
    </row>
    <row r="90" spans="2:19" ht="15" hidden="1" x14ac:dyDescent="0.25">
      <c r="C90" s="693" t="s">
        <v>801</v>
      </c>
      <c r="E90" s="691">
        <v>1.1000000000000001</v>
      </c>
      <c r="F90" s="694" t="s">
        <v>309</v>
      </c>
      <c r="G90" s="689">
        <f>+[5]H.SATUAN!D112</f>
        <v>340000</v>
      </c>
      <c r="H90" s="667">
        <f>E90*G90</f>
        <v>374000.00000000006</v>
      </c>
      <c r="I90" s="669"/>
      <c r="J90" s="672"/>
      <c r="K90" s="672"/>
      <c r="L90" s="683"/>
      <c r="M90" s="662"/>
      <c r="N90" s="662"/>
      <c r="O90" s="662"/>
      <c r="P90" s="662"/>
      <c r="Q90" s="664"/>
      <c r="R90" s="659"/>
      <c r="S90" s="679"/>
    </row>
    <row r="91" spans="2:19" ht="15.75" hidden="1" thickBot="1" x14ac:dyDescent="0.3">
      <c r="B91" s="660"/>
      <c r="C91" s="665"/>
      <c r="D91" s="665"/>
      <c r="E91" s="661"/>
      <c r="F91" s="679"/>
      <c r="G91" s="656" t="s">
        <v>0</v>
      </c>
      <c r="H91" s="667">
        <f>SUM(H90:H90)</f>
        <v>374000.00000000006</v>
      </c>
      <c r="I91" s="669"/>
      <c r="J91" s="672"/>
      <c r="K91" s="672"/>
      <c r="L91" s="683"/>
      <c r="M91" s="662"/>
      <c r="N91" s="662"/>
      <c r="O91" s="662"/>
      <c r="P91" s="662"/>
      <c r="Q91" s="664"/>
      <c r="R91" s="659"/>
      <c r="S91" s="679"/>
    </row>
    <row r="92" spans="2:19" ht="15.75" hidden="1" thickBot="1" x14ac:dyDescent="0.3">
      <c r="B92" s="660"/>
      <c r="C92" s="665"/>
      <c r="D92" s="665"/>
      <c r="E92" s="682"/>
      <c r="F92" s="662"/>
      <c r="G92" s="662" t="s">
        <v>784</v>
      </c>
      <c r="H92" s="668">
        <f>SUM(H91,H88)</f>
        <v>390562.50000000006</v>
      </c>
      <c r="I92" s="669"/>
      <c r="J92" s="672"/>
      <c r="K92" s="672"/>
      <c r="L92" s="670"/>
      <c r="M92" s="664"/>
      <c r="N92" s="664"/>
      <c r="O92" s="665"/>
      <c r="P92" s="673"/>
      <c r="Q92" s="665"/>
      <c r="R92" s="677"/>
      <c r="S92" s="679"/>
    </row>
    <row r="93" spans="2:19" ht="15.75" hidden="1" thickBot="1" x14ac:dyDescent="0.3">
      <c r="B93" s="660"/>
      <c r="C93" s="665"/>
      <c r="D93" s="665"/>
      <c r="E93" s="682"/>
      <c r="F93" s="662" t="s">
        <v>785</v>
      </c>
      <c r="G93" s="680">
        <f>$I$6</f>
        <v>0.15</v>
      </c>
      <c r="H93" s="668">
        <f>H92*G93</f>
        <v>58584.375000000007</v>
      </c>
      <c r="I93" s="669"/>
      <c r="J93" s="672"/>
      <c r="K93" s="669"/>
      <c r="L93" s="670"/>
      <c r="M93" s="664"/>
      <c r="N93" s="664"/>
      <c r="O93" s="665"/>
      <c r="P93" s="673"/>
      <c r="Q93" s="678"/>
      <c r="R93" s="677"/>
      <c r="S93" s="679"/>
    </row>
    <row r="94" spans="2:19" ht="15.75" hidden="1" thickBot="1" x14ac:dyDescent="0.3">
      <c r="B94" s="679"/>
      <c r="C94" s="679"/>
      <c r="D94" s="679"/>
      <c r="E94" s="679"/>
      <c r="F94" s="679"/>
      <c r="G94" s="662" t="s">
        <v>780</v>
      </c>
      <c r="H94" s="668">
        <f>H93+H92</f>
        <v>449146.87500000006</v>
      </c>
      <c r="I94" s="669"/>
      <c r="J94" s="671"/>
      <c r="K94" s="672"/>
      <c r="L94" s="670"/>
      <c r="M94" s="664"/>
      <c r="N94" s="664"/>
      <c r="O94" s="665"/>
      <c r="P94" s="673"/>
      <c r="Q94" s="678"/>
      <c r="R94" s="677"/>
      <c r="S94" s="679"/>
    </row>
    <row r="95" spans="2:19" ht="15" hidden="1" x14ac:dyDescent="0.25">
      <c r="I95" s="669"/>
      <c r="J95" s="671"/>
      <c r="K95" s="672"/>
      <c r="L95" s="670"/>
      <c r="M95" s="664"/>
      <c r="N95" s="664"/>
      <c r="O95" s="665"/>
      <c r="P95" s="673"/>
      <c r="Q95" s="664"/>
      <c r="R95" s="677"/>
      <c r="S95" s="679"/>
    </row>
    <row r="96" spans="2:19" ht="15" hidden="1" x14ac:dyDescent="0.25">
      <c r="B96" s="687" t="s">
        <v>802</v>
      </c>
      <c r="C96" s="687" t="s">
        <v>803</v>
      </c>
      <c r="I96" s="669"/>
      <c r="J96" s="671"/>
      <c r="K96" s="672"/>
      <c r="L96" s="670"/>
      <c r="M96" s="664"/>
      <c r="N96" s="664"/>
      <c r="O96" s="665"/>
      <c r="P96" s="673"/>
      <c r="Q96" s="664"/>
      <c r="R96" s="677"/>
      <c r="S96" s="679"/>
    </row>
    <row r="97" spans="2:19" ht="15" hidden="1" x14ac:dyDescent="0.25">
      <c r="B97" s="655" t="s">
        <v>556</v>
      </c>
      <c r="C97" s="655" t="s">
        <v>794</v>
      </c>
      <c r="I97" s="669"/>
      <c r="J97" s="671"/>
      <c r="K97" s="672"/>
      <c r="L97" s="670"/>
      <c r="M97" s="664"/>
      <c r="N97" s="664"/>
      <c r="O97" s="665"/>
      <c r="P97" s="673"/>
      <c r="Q97" s="665"/>
      <c r="R97" s="677"/>
      <c r="S97" s="679"/>
    </row>
    <row r="98" spans="2:19" ht="15" hidden="1" x14ac:dyDescent="0.25">
      <c r="C98" s="690" t="s">
        <v>17</v>
      </c>
      <c r="E98" s="695">
        <v>0.02</v>
      </c>
      <c r="F98" s="655" t="s">
        <v>242</v>
      </c>
      <c r="G98" s="674">
        <f>'[5]DAFTAR UPAH'!$G$14</f>
        <v>96000</v>
      </c>
      <c r="H98" s="657">
        <f>E98*G98</f>
        <v>1920</v>
      </c>
      <c r="I98" s="669"/>
      <c r="J98" s="671"/>
      <c r="K98" s="672"/>
      <c r="L98" s="670"/>
      <c r="M98" s="664"/>
      <c r="N98" s="664"/>
      <c r="O98" s="665"/>
      <c r="P98" s="673"/>
      <c r="Q98" s="678"/>
      <c r="R98" s="677"/>
      <c r="S98" s="679"/>
    </row>
    <row r="99" spans="2:19" ht="15" hidden="1" x14ac:dyDescent="0.25">
      <c r="C99" s="690" t="s">
        <v>804</v>
      </c>
      <c r="E99" s="691">
        <v>6.3E-2</v>
      </c>
      <c r="F99" s="655" t="s">
        <v>242</v>
      </c>
      <c r="G99" s="674">
        <f>'[5]DAFTAR UPAH'!$G$13</f>
        <v>115000</v>
      </c>
      <c r="H99" s="657">
        <f>E99*G99</f>
        <v>7245</v>
      </c>
      <c r="I99" s="669"/>
      <c r="J99" s="672"/>
      <c r="K99" s="672"/>
      <c r="L99" s="670"/>
      <c r="M99" s="664"/>
      <c r="N99" s="664"/>
      <c r="O99" s="665"/>
      <c r="P99" s="673"/>
      <c r="Q99" s="678"/>
      <c r="R99" s="677"/>
      <c r="S99" s="679"/>
    </row>
    <row r="100" spans="2:19" ht="15" hidden="1" x14ac:dyDescent="0.25">
      <c r="C100" s="690" t="s">
        <v>93</v>
      </c>
      <c r="E100" s="696">
        <v>2.9999999999999997E-4</v>
      </c>
      <c r="F100" s="655" t="s">
        <v>242</v>
      </c>
      <c r="G100" s="674">
        <f>'[5]DAFTAR UPAH'!$G$12</f>
        <v>127500</v>
      </c>
      <c r="H100" s="657">
        <f>E100*G100</f>
        <v>38.25</v>
      </c>
      <c r="I100" s="669"/>
      <c r="J100" s="672"/>
      <c r="K100" s="672"/>
      <c r="L100" s="670"/>
      <c r="M100" s="664"/>
      <c r="N100" s="664"/>
      <c r="O100" s="665"/>
      <c r="P100" s="673"/>
      <c r="Q100" s="678"/>
      <c r="R100" s="677"/>
      <c r="S100" s="679"/>
    </row>
    <row r="101" spans="2:19" ht="15" hidden="1" x14ac:dyDescent="0.25">
      <c r="C101" s="690" t="s">
        <v>19</v>
      </c>
      <c r="E101" s="691">
        <v>3.0000000000000001E-3</v>
      </c>
      <c r="F101" s="655" t="s">
        <v>242</v>
      </c>
      <c r="G101" s="674">
        <f>'[5]DAFTAR UPAH'!$G$11</f>
        <v>115000</v>
      </c>
      <c r="H101" s="657">
        <f>E101*G101</f>
        <v>345</v>
      </c>
      <c r="I101" s="669"/>
      <c r="J101" s="672"/>
      <c r="K101" s="672"/>
      <c r="L101" s="670"/>
      <c r="M101" s="664"/>
      <c r="N101" s="664"/>
      <c r="O101" s="665"/>
      <c r="P101" s="673"/>
      <c r="Q101" s="678"/>
      <c r="R101" s="677"/>
      <c r="S101" s="679"/>
    </row>
    <row r="102" spans="2:19" ht="15" hidden="1" x14ac:dyDescent="0.25">
      <c r="G102" s="656" t="s">
        <v>0</v>
      </c>
      <c r="H102" s="657">
        <f>SUM(H98:H101)</f>
        <v>9548.25</v>
      </c>
      <c r="I102" s="669"/>
      <c r="J102" s="672"/>
      <c r="K102" s="672"/>
      <c r="L102" s="670"/>
      <c r="M102" s="1563"/>
      <c r="N102" s="1563"/>
      <c r="O102" s="1563"/>
      <c r="P102" s="1563"/>
      <c r="Q102" s="678"/>
      <c r="R102" s="659"/>
      <c r="S102" s="679"/>
    </row>
    <row r="103" spans="2:19" ht="15" hidden="1" x14ac:dyDescent="0.25">
      <c r="B103" s="655" t="s">
        <v>1</v>
      </c>
      <c r="C103" s="655" t="s">
        <v>150</v>
      </c>
      <c r="I103" s="669"/>
      <c r="J103" s="672"/>
      <c r="K103" s="672"/>
      <c r="L103" s="683"/>
      <c r="M103" s="662"/>
      <c r="N103" s="662"/>
      <c r="O103" s="662"/>
      <c r="P103" s="662"/>
      <c r="Q103" s="664"/>
      <c r="R103" s="659"/>
      <c r="S103" s="679"/>
    </row>
    <row r="104" spans="2:19" ht="15" hidden="1" x14ac:dyDescent="0.25">
      <c r="C104" s="690" t="s">
        <v>618</v>
      </c>
      <c r="E104" s="695">
        <v>0.1</v>
      </c>
      <c r="F104" s="697" t="s">
        <v>12</v>
      </c>
      <c r="G104" s="674">
        <f>+[5]H.SATUAN!D133</f>
        <v>7500</v>
      </c>
      <c r="H104" s="657">
        <f>E104*G104</f>
        <v>750</v>
      </c>
      <c r="I104" s="669"/>
      <c r="J104" s="672"/>
      <c r="K104" s="672"/>
      <c r="L104" s="683"/>
      <c r="M104" s="662"/>
      <c r="N104" s="662"/>
      <c r="O104" s="662"/>
      <c r="P104" s="662"/>
      <c r="Q104" s="664"/>
      <c r="R104" s="659"/>
      <c r="S104" s="679"/>
    </row>
    <row r="105" spans="2:19" ht="15" hidden="1" x14ac:dyDescent="0.25">
      <c r="C105" s="690" t="s">
        <v>805</v>
      </c>
      <c r="E105" s="695">
        <v>0.1</v>
      </c>
      <c r="F105" s="697" t="s">
        <v>12</v>
      </c>
      <c r="G105" s="674">
        <f>+G106</f>
        <v>165000</v>
      </c>
      <c r="H105" s="657">
        <f>E105*G105</f>
        <v>16500</v>
      </c>
      <c r="I105" s="669"/>
      <c r="J105" s="672"/>
      <c r="K105" s="672"/>
      <c r="L105" s="683"/>
      <c r="M105" s="662"/>
      <c r="N105" s="662"/>
      <c r="O105" s="662"/>
      <c r="P105" s="673"/>
      <c r="Q105" s="664"/>
      <c r="R105" s="659"/>
      <c r="S105" s="679"/>
    </row>
    <row r="106" spans="2:19" ht="15" hidden="1" x14ac:dyDescent="0.25">
      <c r="C106" s="690" t="s">
        <v>806</v>
      </c>
      <c r="E106" s="695">
        <v>0.26</v>
      </c>
      <c r="F106" s="697" t="s">
        <v>12</v>
      </c>
      <c r="G106" s="674">
        <f>+[5]H.SATUAN!D136</f>
        <v>165000</v>
      </c>
      <c r="H106" s="657">
        <f>E106*G106</f>
        <v>42900</v>
      </c>
      <c r="I106" s="669"/>
      <c r="J106" s="672"/>
      <c r="K106" s="669"/>
      <c r="L106" s="670"/>
      <c r="M106" s="664"/>
      <c r="N106" s="664"/>
      <c r="O106" s="665"/>
      <c r="P106" s="673"/>
      <c r="Q106" s="678"/>
      <c r="R106" s="677"/>
      <c r="S106" s="679"/>
    </row>
    <row r="107" spans="2:19" ht="15.75" hidden="1" thickBot="1" x14ac:dyDescent="0.3">
      <c r="G107" s="656" t="s">
        <v>0</v>
      </c>
      <c r="H107" s="686">
        <f>SUM(H104:H106)</f>
        <v>60150</v>
      </c>
      <c r="I107" s="669"/>
      <c r="J107" s="671"/>
      <c r="K107" s="672"/>
      <c r="L107" s="670"/>
      <c r="M107" s="664"/>
      <c r="N107" s="664"/>
      <c r="O107" s="665"/>
      <c r="P107" s="673"/>
      <c r="Q107" s="664"/>
      <c r="R107" s="677"/>
      <c r="S107" s="679"/>
    </row>
    <row r="108" spans="2:19" ht="15.75" hidden="1" thickBot="1" x14ac:dyDescent="0.3">
      <c r="G108" s="656" t="s">
        <v>784</v>
      </c>
      <c r="H108" s="698">
        <f>SUM(H107,H102)</f>
        <v>69698.25</v>
      </c>
      <c r="I108" s="669"/>
      <c r="J108" s="671"/>
      <c r="K108" s="672"/>
      <c r="L108" s="670"/>
      <c r="M108" s="664"/>
      <c r="N108" s="664"/>
      <c r="O108" s="665"/>
      <c r="P108" s="673"/>
      <c r="Q108" s="664"/>
      <c r="R108" s="677"/>
      <c r="S108" s="679"/>
    </row>
    <row r="109" spans="2:19" ht="15.75" hidden="1" thickBot="1" x14ac:dyDescent="0.3">
      <c r="F109" s="699" t="s">
        <v>785</v>
      </c>
      <c r="G109" s="700">
        <f>$I$6</f>
        <v>0.15</v>
      </c>
      <c r="H109" s="698">
        <f>H108*G109</f>
        <v>10454.737499999999</v>
      </c>
      <c r="I109" s="669"/>
      <c r="J109" s="671"/>
      <c r="K109" s="672"/>
      <c r="L109" s="670"/>
      <c r="M109" s="664"/>
      <c r="N109" s="664"/>
      <c r="O109" s="665"/>
      <c r="P109" s="673"/>
      <c r="Q109" s="664"/>
      <c r="R109" s="659"/>
      <c r="S109" s="679"/>
    </row>
    <row r="110" spans="2:19" ht="15.75" hidden="1" thickBot="1" x14ac:dyDescent="0.3">
      <c r="G110" s="656" t="s">
        <v>780</v>
      </c>
      <c r="H110" s="698">
        <f>H109+H108</f>
        <v>80152.987500000003</v>
      </c>
      <c r="I110" s="669"/>
      <c r="J110" s="671"/>
      <c r="K110" s="672"/>
      <c r="L110" s="670"/>
      <c r="M110" s="664"/>
      <c r="N110" s="664"/>
      <c r="O110" s="665"/>
      <c r="P110" s="673"/>
      <c r="Q110" s="665"/>
      <c r="R110" s="677"/>
      <c r="S110" s="679"/>
    </row>
    <row r="111" spans="2:19" ht="15" hidden="1" x14ac:dyDescent="0.25">
      <c r="I111" s="669"/>
      <c r="J111" s="672"/>
      <c r="K111" s="672"/>
      <c r="L111" s="670"/>
      <c r="M111" s="664"/>
      <c r="N111" s="664"/>
      <c r="O111" s="665"/>
      <c r="P111" s="673"/>
      <c r="Q111" s="678"/>
      <c r="R111" s="677"/>
      <c r="S111" s="679"/>
    </row>
    <row r="112" spans="2:19" ht="15" hidden="1" x14ac:dyDescent="0.25">
      <c r="B112" s="687" t="s">
        <v>807</v>
      </c>
      <c r="C112" s="687" t="s">
        <v>808</v>
      </c>
      <c r="I112" s="669"/>
      <c r="J112" s="672"/>
      <c r="K112" s="672"/>
      <c r="L112" s="670"/>
      <c r="M112" s="664"/>
      <c r="N112" s="664"/>
      <c r="O112" s="665"/>
      <c r="P112" s="673"/>
      <c r="Q112" s="678"/>
      <c r="R112" s="677"/>
      <c r="S112" s="679"/>
    </row>
    <row r="113" spans="2:19" ht="15" hidden="1" x14ac:dyDescent="0.25">
      <c r="B113" s="655" t="s">
        <v>556</v>
      </c>
      <c r="C113" s="655" t="s">
        <v>794</v>
      </c>
      <c r="I113" s="669"/>
      <c r="J113" s="672"/>
      <c r="K113" s="672"/>
      <c r="L113" s="670"/>
      <c r="M113" s="664"/>
      <c r="N113" s="664"/>
      <c r="O113" s="665"/>
      <c r="P113" s="673"/>
      <c r="Q113" s="678"/>
      <c r="R113" s="677"/>
      <c r="S113" s="679"/>
    </row>
    <row r="114" spans="2:19" ht="15" hidden="1" x14ac:dyDescent="0.25">
      <c r="C114" s="690" t="s">
        <v>17</v>
      </c>
      <c r="E114" s="695">
        <v>0.9</v>
      </c>
      <c r="F114" s="655" t="s">
        <v>242</v>
      </c>
      <c r="G114" s="674">
        <f>'[5]DAFTAR UPAH'!$G$14</f>
        <v>96000</v>
      </c>
      <c r="H114" s="657">
        <f>E114*G114</f>
        <v>86400</v>
      </c>
      <c r="I114" s="669"/>
      <c r="J114" s="672"/>
      <c r="K114" s="672"/>
      <c r="L114" s="670"/>
      <c r="M114" s="664"/>
      <c r="N114" s="664"/>
      <c r="O114" s="665"/>
      <c r="P114" s="673"/>
      <c r="Q114" s="678"/>
      <c r="R114" s="677"/>
      <c r="S114" s="679"/>
    </row>
    <row r="115" spans="2:19" ht="15" hidden="1" x14ac:dyDescent="0.25">
      <c r="C115" s="690" t="s">
        <v>795</v>
      </c>
      <c r="E115" s="695">
        <v>0.45</v>
      </c>
      <c r="F115" s="655" t="s">
        <v>242</v>
      </c>
      <c r="G115" s="674">
        <f>'[5]DAFTAR UPAH'!$G$13</f>
        <v>115000</v>
      </c>
      <c r="H115" s="657">
        <f>E115*G115</f>
        <v>51750</v>
      </c>
      <c r="I115" s="669"/>
      <c r="J115" s="672"/>
      <c r="K115" s="672"/>
      <c r="L115" s="670"/>
      <c r="M115" s="664"/>
      <c r="N115" s="664"/>
      <c r="O115" s="665"/>
      <c r="P115" s="673"/>
      <c r="Q115" s="678"/>
      <c r="R115" s="677"/>
      <c r="S115" s="679"/>
    </row>
    <row r="116" spans="2:19" ht="15" hidden="1" x14ac:dyDescent="0.25">
      <c r="C116" s="690" t="s">
        <v>796</v>
      </c>
      <c r="E116" s="691">
        <v>4.4999999999999998E-2</v>
      </c>
      <c r="F116" s="655" t="s">
        <v>242</v>
      </c>
      <c r="G116" s="674">
        <f>'[5]DAFTAR UPAH'!$G$12</f>
        <v>127500</v>
      </c>
      <c r="H116" s="657">
        <f>E116*G116</f>
        <v>5737.5</v>
      </c>
      <c r="I116" s="669"/>
      <c r="J116" s="672"/>
      <c r="K116" s="672"/>
      <c r="L116" s="670"/>
      <c r="M116" s="1563"/>
      <c r="N116" s="1563"/>
      <c r="O116" s="1563"/>
      <c r="P116" s="1563"/>
      <c r="Q116" s="678"/>
      <c r="R116" s="659"/>
      <c r="S116" s="679"/>
    </row>
    <row r="117" spans="2:19" ht="15" hidden="1" x14ac:dyDescent="0.25">
      <c r="C117" s="690" t="s">
        <v>19</v>
      </c>
      <c r="E117" s="691">
        <v>4.4999999999999998E-2</v>
      </c>
      <c r="F117" s="655" t="s">
        <v>242</v>
      </c>
      <c r="G117" s="674">
        <f>'[5]DAFTAR UPAH'!$G$11</f>
        <v>115000</v>
      </c>
      <c r="H117" s="657">
        <f>E117*G117</f>
        <v>5175</v>
      </c>
      <c r="J117" s="672"/>
      <c r="K117" s="672"/>
      <c r="L117" s="683"/>
      <c r="M117" s="662"/>
      <c r="N117" s="662"/>
      <c r="O117" s="662"/>
      <c r="P117" s="662"/>
      <c r="Q117" s="664"/>
      <c r="R117" s="659"/>
      <c r="S117" s="679"/>
    </row>
    <row r="118" spans="2:19" ht="15" hidden="1" x14ac:dyDescent="0.25">
      <c r="G118" s="656" t="s">
        <v>0</v>
      </c>
      <c r="H118" s="657">
        <f>SUM(H114:H117)</f>
        <v>149062.5</v>
      </c>
      <c r="J118" s="672"/>
      <c r="K118" s="672"/>
      <c r="L118" s="683"/>
      <c r="M118" s="662"/>
      <c r="N118" s="662"/>
      <c r="O118" s="662"/>
      <c r="P118" s="662"/>
      <c r="Q118" s="664"/>
      <c r="R118" s="659"/>
      <c r="S118" s="679"/>
    </row>
    <row r="119" spans="2:19" hidden="1" x14ac:dyDescent="0.2">
      <c r="B119" s="655" t="s">
        <v>1</v>
      </c>
      <c r="C119" s="655" t="s">
        <v>150</v>
      </c>
      <c r="M119" s="679"/>
      <c r="N119" s="679"/>
      <c r="O119" s="665"/>
      <c r="P119" s="673"/>
      <c r="Q119" s="678"/>
      <c r="R119" s="677"/>
      <c r="S119" s="679"/>
    </row>
    <row r="120" spans="2:19" hidden="1" x14ac:dyDescent="0.2">
      <c r="C120" s="693" t="s">
        <v>809</v>
      </c>
      <c r="E120" s="691">
        <v>11.87</v>
      </c>
      <c r="F120" s="694" t="s">
        <v>58</v>
      </c>
      <c r="G120" s="674">
        <f>+[5]H.SATUAN!D78</f>
        <v>6650</v>
      </c>
      <c r="H120" s="657">
        <f>E120*G120</f>
        <v>78935.5</v>
      </c>
      <c r="M120" s="679"/>
      <c r="N120" s="679"/>
      <c r="O120" s="665"/>
      <c r="P120" s="673"/>
      <c r="Q120" s="678"/>
      <c r="R120" s="677"/>
      <c r="S120" s="679"/>
    </row>
    <row r="121" spans="2:19" hidden="1" x14ac:dyDescent="0.2">
      <c r="C121" s="693" t="s">
        <v>391</v>
      </c>
      <c r="E121" s="695">
        <v>10</v>
      </c>
      <c r="F121" s="694" t="s">
        <v>12</v>
      </c>
      <c r="G121" s="674">
        <f>+[5]H.SATUAN!D36</f>
        <v>1250</v>
      </c>
      <c r="H121" s="657">
        <f>E121*G121</f>
        <v>12500</v>
      </c>
      <c r="M121" s="679"/>
      <c r="N121" s="679"/>
      <c r="O121" s="665"/>
      <c r="P121" s="679"/>
      <c r="Q121" s="664"/>
      <c r="R121" s="679"/>
      <c r="S121" s="679"/>
    </row>
    <row r="122" spans="2:19" hidden="1" x14ac:dyDescent="0.2">
      <c r="C122" s="693" t="s">
        <v>49</v>
      </c>
      <c r="E122" s="691">
        <v>4.4999999999999998E-2</v>
      </c>
      <c r="F122" s="694" t="s">
        <v>756</v>
      </c>
      <c r="G122" s="674">
        <f>+[5]H.SATUAN!D30</f>
        <v>128571.42857142857</v>
      </c>
      <c r="H122" s="657">
        <f>E122*G122</f>
        <v>5785.7142857142853</v>
      </c>
      <c r="M122" s="679"/>
      <c r="N122" s="679"/>
      <c r="O122" s="665"/>
      <c r="P122" s="679"/>
      <c r="Q122" s="664"/>
      <c r="R122" s="679"/>
      <c r="S122" s="679"/>
    </row>
    <row r="123" spans="2:19" hidden="1" x14ac:dyDescent="0.2">
      <c r="C123" s="693" t="s">
        <v>810</v>
      </c>
      <c r="E123" s="695">
        <v>1.5</v>
      </c>
      <c r="F123" s="694" t="s">
        <v>12</v>
      </c>
      <c r="G123" s="674">
        <f>+[5]H.SATUAN!D34</f>
        <v>3187.5</v>
      </c>
      <c r="H123" s="657">
        <f>E123*G123</f>
        <v>4781.25</v>
      </c>
      <c r="M123" s="679"/>
      <c r="N123" s="679"/>
      <c r="O123" s="665"/>
      <c r="P123" s="679"/>
      <c r="Q123" s="664"/>
      <c r="R123" s="679"/>
      <c r="S123" s="679"/>
    </row>
    <row r="124" spans="2:19" ht="15" hidden="1" thickBot="1" x14ac:dyDescent="0.25">
      <c r="G124" s="656" t="s">
        <v>0</v>
      </c>
      <c r="H124" s="657">
        <f>SUM(H120:H123)</f>
        <v>102002.46428571429</v>
      </c>
      <c r="M124" s="679"/>
      <c r="N124" s="679"/>
      <c r="O124" s="665"/>
      <c r="P124" s="679"/>
      <c r="Q124" s="665"/>
      <c r="R124" s="679"/>
      <c r="S124" s="679"/>
    </row>
    <row r="125" spans="2:19" ht="15.75" hidden="1" thickBot="1" x14ac:dyDescent="0.3">
      <c r="G125" s="656" t="s">
        <v>784</v>
      </c>
      <c r="H125" s="698">
        <f>SUM(H124,H118)</f>
        <v>251064.96428571429</v>
      </c>
      <c r="M125" s="679"/>
      <c r="N125" s="679"/>
      <c r="O125" s="665"/>
      <c r="P125" s="679"/>
      <c r="Q125" s="678"/>
      <c r="R125" s="679"/>
      <c r="S125" s="679"/>
    </row>
    <row r="126" spans="2:19" ht="15.75" hidden="1" thickBot="1" x14ac:dyDescent="0.3">
      <c r="F126" s="655" t="s">
        <v>785</v>
      </c>
      <c r="G126" s="700">
        <f>$I$6</f>
        <v>0.15</v>
      </c>
      <c r="H126" s="698">
        <f>H125*G126</f>
        <v>37659.744642857142</v>
      </c>
      <c r="M126" s="679"/>
      <c r="N126" s="679"/>
      <c r="O126" s="665"/>
      <c r="P126" s="679"/>
      <c r="Q126" s="678"/>
      <c r="R126" s="679"/>
      <c r="S126" s="679"/>
    </row>
    <row r="127" spans="2:19" ht="15.75" hidden="1" thickBot="1" x14ac:dyDescent="0.3">
      <c r="G127" s="656" t="s">
        <v>780</v>
      </c>
      <c r="H127" s="698">
        <f>H126+H125</f>
        <v>288724.70892857143</v>
      </c>
      <c r="M127" s="679"/>
      <c r="N127" s="679"/>
      <c r="O127" s="665"/>
      <c r="P127" s="679"/>
      <c r="Q127" s="678"/>
      <c r="R127" s="679"/>
      <c r="S127" s="679"/>
    </row>
    <row r="128" spans="2:19" hidden="1" x14ac:dyDescent="0.2">
      <c r="M128" s="679"/>
      <c r="N128" s="679"/>
      <c r="O128" s="665"/>
      <c r="P128" s="679"/>
      <c r="Q128" s="678"/>
      <c r="R128" s="679"/>
      <c r="S128" s="679"/>
    </row>
    <row r="129" spans="2:19" ht="15" hidden="1" x14ac:dyDescent="0.25">
      <c r="B129" s="687" t="s">
        <v>811</v>
      </c>
      <c r="C129" s="687" t="s">
        <v>812</v>
      </c>
      <c r="I129" s="669"/>
      <c r="J129" s="672"/>
      <c r="K129" s="672"/>
      <c r="L129" s="670"/>
      <c r="M129" s="664"/>
      <c r="N129" s="664"/>
      <c r="O129" s="665"/>
      <c r="P129" s="673"/>
      <c r="Q129" s="678"/>
      <c r="R129" s="677"/>
      <c r="S129" s="679"/>
    </row>
    <row r="130" spans="2:19" ht="15" hidden="1" x14ac:dyDescent="0.25">
      <c r="B130" s="655" t="s">
        <v>556</v>
      </c>
      <c r="C130" s="655" t="s">
        <v>794</v>
      </c>
      <c r="I130" s="669"/>
      <c r="J130" s="672"/>
      <c r="K130" s="672"/>
      <c r="L130" s="670"/>
      <c r="M130" s="664"/>
      <c r="N130" s="664"/>
      <c r="O130" s="665"/>
      <c r="P130" s="673"/>
      <c r="Q130" s="678"/>
      <c r="R130" s="677"/>
      <c r="S130" s="679"/>
    </row>
    <row r="131" spans="2:19" ht="15" hidden="1" x14ac:dyDescent="0.25">
      <c r="C131" s="690" t="s">
        <v>17</v>
      </c>
      <c r="E131" s="691">
        <v>0.24</v>
      </c>
      <c r="F131" s="655" t="s">
        <v>242</v>
      </c>
      <c r="G131" s="674">
        <f>'[5]DAFTAR UPAH'!$G$14</f>
        <v>96000</v>
      </c>
      <c r="H131" s="657">
        <f>E131*G131</f>
        <v>23040</v>
      </c>
      <c r="I131" s="669"/>
      <c r="J131" s="672"/>
      <c r="K131" s="672"/>
      <c r="L131" s="670"/>
      <c r="M131" s="664"/>
      <c r="N131" s="664"/>
      <c r="O131" s="665"/>
      <c r="P131" s="673"/>
      <c r="Q131" s="678"/>
      <c r="R131" s="677"/>
      <c r="S131" s="679"/>
    </row>
    <row r="132" spans="2:19" ht="15" hidden="1" x14ac:dyDescent="0.25">
      <c r="C132" s="690" t="s">
        <v>795</v>
      </c>
      <c r="E132" s="695">
        <v>0.45</v>
      </c>
      <c r="F132" s="655" t="s">
        <v>242</v>
      </c>
      <c r="G132" s="674">
        <f>'[5]DAFTAR UPAH'!$G$13</f>
        <v>115000</v>
      </c>
      <c r="H132" s="657">
        <f>E132*G132</f>
        <v>51750</v>
      </c>
      <c r="I132" s="669"/>
      <c r="J132" s="672"/>
      <c r="K132" s="672"/>
      <c r="L132" s="670"/>
      <c r="M132" s="664"/>
      <c r="N132" s="664"/>
      <c r="O132" s="665"/>
      <c r="P132" s="673"/>
      <c r="Q132" s="678"/>
      <c r="R132" s="677"/>
      <c r="S132" s="679"/>
    </row>
    <row r="133" spans="2:19" ht="15" hidden="1" x14ac:dyDescent="0.25">
      <c r="C133" s="690" t="s">
        <v>796</v>
      </c>
      <c r="E133" s="691">
        <v>4.4999999999999998E-2</v>
      </c>
      <c r="F133" s="655" t="s">
        <v>242</v>
      </c>
      <c r="G133" s="674">
        <f>'[5]DAFTAR UPAH'!$G$12</f>
        <v>127500</v>
      </c>
      <c r="H133" s="657">
        <f>E133*G133</f>
        <v>5737.5</v>
      </c>
      <c r="I133" s="669"/>
      <c r="J133" s="672"/>
      <c r="K133" s="672"/>
      <c r="L133" s="670"/>
      <c r="M133" s="1563"/>
      <c r="N133" s="1563"/>
      <c r="O133" s="1563"/>
      <c r="P133" s="1563"/>
      <c r="Q133" s="678"/>
      <c r="R133" s="659"/>
      <c r="S133" s="679"/>
    </row>
    <row r="134" spans="2:19" ht="15" hidden="1" x14ac:dyDescent="0.25">
      <c r="C134" s="690" t="s">
        <v>19</v>
      </c>
      <c r="E134" s="691">
        <v>4.4999999999999998E-2</v>
      </c>
      <c r="F134" s="655" t="s">
        <v>242</v>
      </c>
      <c r="G134" s="674">
        <f>'[5]DAFTAR UPAH'!$G$11</f>
        <v>115000</v>
      </c>
      <c r="H134" s="657">
        <f>E134*G134</f>
        <v>5175</v>
      </c>
      <c r="J134" s="672"/>
      <c r="K134" s="672"/>
      <c r="L134" s="683"/>
      <c r="M134" s="662"/>
      <c r="N134" s="662"/>
      <c r="O134" s="662"/>
      <c r="P134" s="662"/>
      <c r="Q134" s="664"/>
      <c r="R134" s="659"/>
      <c r="S134" s="679"/>
    </row>
    <row r="135" spans="2:19" ht="15" hidden="1" x14ac:dyDescent="0.25">
      <c r="G135" s="656" t="s">
        <v>0</v>
      </c>
      <c r="H135" s="657">
        <f>SUM(H131:H134)</f>
        <v>85702.5</v>
      </c>
      <c r="J135" s="672"/>
      <c r="K135" s="672"/>
      <c r="L135" s="683"/>
      <c r="M135" s="662"/>
      <c r="N135" s="662"/>
      <c r="O135" s="662"/>
      <c r="P135" s="662"/>
      <c r="Q135" s="664"/>
      <c r="R135" s="659"/>
      <c r="S135" s="679"/>
    </row>
    <row r="136" spans="2:19" hidden="1" x14ac:dyDescent="0.2">
      <c r="B136" s="655" t="s">
        <v>1</v>
      </c>
      <c r="C136" s="655" t="s">
        <v>150</v>
      </c>
      <c r="M136" s="679"/>
      <c r="N136" s="679"/>
      <c r="O136" s="665"/>
      <c r="P136" s="673"/>
      <c r="Q136" s="678"/>
      <c r="R136" s="677"/>
      <c r="S136" s="679"/>
    </row>
    <row r="137" spans="2:19" hidden="1" x14ac:dyDescent="0.2">
      <c r="C137" s="693" t="s">
        <v>813</v>
      </c>
      <c r="E137" s="695">
        <v>3.1</v>
      </c>
      <c r="F137" s="694" t="s">
        <v>58</v>
      </c>
      <c r="G137" s="674">
        <f>+[5]H.SATUAN!D80</f>
        <v>56100</v>
      </c>
      <c r="H137" s="657">
        <f>E137*G137</f>
        <v>173910</v>
      </c>
      <c r="M137" s="679"/>
      <c r="N137" s="679"/>
      <c r="O137" s="665"/>
      <c r="P137" s="673"/>
      <c r="Q137" s="678"/>
      <c r="R137" s="677"/>
      <c r="S137" s="679"/>
    </row>
    <row r="138" spans="2:19" hidden="1" x14ac:dyDescent="0.2">
      <c r="C138" s="693" t="s">
        <v>391</v>
      </c>
      <c r="E138" s="695">
        <v>10</v>
      </c>
      <c r="F138" s="694" t="s">
        <v>12</v>
      </c>
      <c r="G138" s="674">
        <f>+G121</f>
        <v>1250</v>
      </c>
      <c r="H138" s="657">
        <f>E138*G138</f>
        <v>12500</v>
      </c>
      <c r="M138" s="679"/>
      <c r="N138" s="679"/>
      <c r="O138" s="665"/>
      <c r="P138" s="679"/>
      <c r="Q138" s="664"/>
      <c r="R138" s="679"/>
      <c r="S138" s="679"/>
    </row>
    <row r="139" spans="2:19" hidden="1" x14ac:dyDescent="0.2">
      <c r="C139" s="693" t="s">
        <v>49</v>
      </c>
      <c r="E139" s="691">
        <v>4.4999999999999998E-2</v>
      </c>
      <c r="F139" s="694" t="s">
        <v>756</v>
      </c>
      <c r="G139" s="674">
        <f>+G122</f>
        <v>128571.42857142857</v>
      </c>
      <c r="H139" s="657">
        <f>E139*G139</f>
        <v>5785.7142857142853</v>
      </c>
      <c r="M139" s="679"/>
      <c r="N139" s="679"/>
      <c r="O139" s="665"/>
      <c r="P139" s="679"/>
      <c r="Q139" s="664"/>
      <c r="R139" s="679"/>
      <c r="S139" s="679"/>
    </row>
    <row r="140" spans="2:19" hidden="1" x14ac:dyDescent="0.2">
      <c r="C140" s="693" t="s">
        <v>810</v>
      </c>
      <c r="E140" s="695">
        <v>1.5</v>
      </c>
      <c r="F140" s="694" t="s">
        <v>12</v>
      </c>
      <c r="G140" s="674">
        <f>+G123</f>
        <v>3187.5</v>
      </c>
      <c r="H140" s="657">
        <f>E140*G140</f>
        <v>4781.25</v>
      </c>
      <c r="M140" s="679"/>
      <c r="N140" s="679"/>
      <c r="O140" s="665"/>
      <c r="P140" s="679"/>
      <c r="Q140" s="664"/>
      <c r="R140" s="679"/>
      <c r="S140" s="679"/>
    </row>
    <row r="141" spans="2:19" ht="15" hidden="1" thickBot="1" x14ac:dyDescent="0.25">
      <c r="G141" s="656" t="s">
        <v>0</v>
      </c>
      <c r="H141" s="657">
        <f>SUM(H137:H140)</f>
        <v>196976.96428571429</v>
      </c>
      <c r="M141" s="679"/>
      <c r="N141" s="679"/>
      <c r="O141" s="665"/>
      <c r="P141" s="679"/>
      <c r="Q141" s="665"/>
      <c r="R141" s="679"/>
      <c r="S141" s="679"/>
    </row>
    <row r="142" spans="2:19" ht="15.75" hidden="1" thickBot="1" x14ac:dyDescent="0.3">
      <c r="G142" s="656" t="s">
        <v>784</v>
      </c>
      <c r="H142" s="698">
        <f>SUM(H141,H135)</f>
        <v>282679.46428571432</v>
      </c>
      <c r="M142" s="679"/>
      <c r="N142" s="679"/>
      <c r="O142" s="665"/>
      <c r="P142" s="679"/>
      <c r="Q142" s="678"/>
      <c r="R142" s="679"/>
      <c r="S142" s="679"/>
    </row>
    <row r="143" spans="2:19" ht="15.75" hidden="1" thickBot="1" x14ac:dyDescent="0.3">
      <c r="F143" s="655" t="s">
        <v>785</v>
      </c>
      <c r="G143" s="700">
        <f>$I$6</f>
        <v>0.15</v>
      </c>
      <c r="H143" s="698">
        <f>H142*G143</f>
        <v>42401.919642857145</v>
      </c>
      <c r="M143" s="679"/>
      <c r="N143" s="679"/>
      <c r="O143" s="665"/>
      <c r="P143" s="679"/>
      <c r="Q143" s="678"/>
      <c r="R143" s="679"/>
      <c r="S143" s="679"/>
    </row>
    <row r="144" spans="2:19" ht="15.75" hidden="1" thickBot="1" x14ac:dyDescent="0.3">
      <c r="G144" s="656" t="s">
        <v>780</v>
      </c>
      <c r="H144" s="698">
        <f>H143+H142</f>
        <v>325081.38392857148</v>
      </c>
      <c r="M144" s="679"/>
      <c r="N144" s="679"/>
      <c r="O144" s="665"/>
      <c r="P144" s="679"/>
      <c r="Q144" s="678"/>
      <c r="R144" s="679"/>
      <c r="S144" s="679"/>
    </row>
    <row r="145" spans="2:19" hidden="1" x14ac:dyDescent="0.2">
      <c r="M145" s="679"/>
      <c r="N145" s="679"/>
      <c r="O145" s="665"/>
      <c r="P145" s="679"/>
      <c r="Q145" s="678"/>
      <c r="R145" s="679"/>
      <c r="S145" s="679"/>
    </row>
    <row r="146" spans="2:19" ht="15" hidden="1" x14ac:dyDescent="0.25">
      <c r="B146" s="687" t="s">
        <v>814</v>
      </c>
      <c r="C146" s="687" t="s">
        <v>815</v>
      </c>
      <c r="M146" s="679"/>
      <c r="N146" s="679"/>
      <c r="O146" s="665"/>
      <c r="P146" s="679"/>
      <c r="Q146" s="678"/>
      <c r="R146" s="679"/>
      <c r="S146" s="679"/>
    </row>
    <row r="147" spans="2:19" hidden="1" x14ac:dyDescent="0.2">
      <c r="B147" s="655" t="s">
        <v>556</v>
      </c>
      <c r="C147" s="655" t="s">
        <v>794</v>
      </c>
      <c r="M147" s="679"/>
      <c r="N147" s="679"/>
      <c r="O147" s="701"/>
      <c r="P147" s="679"/>
      <c r="Q147" s="678"/>
      <c r="R147" s="679"/>
      <c r="S147" s="679"/>
    </row>
    <row r="148" spans="2:19" hidden="1" x14ac:dyDescent="0.2">
      <c r="C148" s="690" t="s">
        <v>17</v>
      </c>
      <c r="E148" s="691">
        <v>0.2</v>
      </c>
      <c r="F148" s="688" t="s">
        <v>242</v>
      </c>
      <c r="G148" s="674">
        <f>'[5]DAFTAR UPAH'!$G$14</f>
        <v>96000</v>
      </c>
      <c r="H148" s="657">
        <f>E148*G148</f>
        <v>19200</v>
      </c>
      <c r="M148" s="679"/>
      <c r="N148" s="679"/>
      <c r="O148" s="662"/>
      <c r="P148" s="679"/>
      <c r="Q148" s="664"/>
      <c r="R148" s="679"/>
      <c r="S148" s="679"/>
    </row>
    <row r="149" spans="2:19" hidden="1" x14ac:dyDescent="0.2">
      <c r="C149" s="690" t="s">
        <v>795</v>
      </c>
      <c r="E149" s="691">
        <v>0.1</v>
      </c>
      <c r="F149" s="688" t="s">
        <v>242</v>
      </c>
      <c r="G149" s="674">
        <f>'[5]DAFTAR UPAH'!$G$13</f>
        <v>115000</v>
      </c>
      <c r="H149" s="657">
        <f>E149*G149</f>
        <v>11500</v>
      </c>
      <c r="M149" s="679"/>
      <c r="N149" s="679"/>
      <c r="O149" s="662"/>
      <c r="P149" s="679"/>
      <c r="Q149" s="664"/>
      <c r="R149" s="679"/>
      <c r="S149" s="679"/>
    </row>
    <row r="150" spans="2:19" hidden="1" x14ac:dyDescent="0.2">
      <c r="C150" s="690" t="s">
        <v>796</v>
      </c>
      <c r="E150" s="691">
        <v>1E-3</v>
      </c>
      <c r="F150" s="688" t="s">
        <v>242</v>
      </c>
      <c r="G150" s="674">
        <f>'[5]DAFTAR UPAH'!$G$12</f>
        <v>127500</v>
      </c>
      <c r="H150" s="657">
        <f>E150*G150</f>
        <v>127.5</v>
      </c>
      <c r="M150" s="679"/>
      <c r="N150" s="679"/>
      <c r="O150" s="679"/>
      <c r="P150" s="679"/>
      <c r="Q150" s="679"/>
      <c r="R150" s="679"/>
      <c r="S150" s="679"/>
    </row>
    <row r="151" spans="2:19" hidden="1" x14ac:dyDescent="0.2">
      <c r="C151" s="690" t="s">
        <v>19</v>
      </c>
      <c r="E151" s="691">
        <v>1E-3</v>
      </c>
      <c r="F151" s="688" t="s">
        <v>242</v>
      </c>
      <c r="G151" s="674">
        <f>'[5]DAFTAR UPAH'!$G$11</f>
        <v>115000</v>
      </c>
      <c r="H151" s="657">
        <f>E151*G151</f>
        <v>115</v>
      </c>
      <c r="M151" s="679"/>
      <c r="N151" s="679"/>
      <c r="O151" s="679"/>
      <c r="P151" s="679"/>
      <c r="Q151" s="679"/>
      <c r="R151" s="679"/>
      <c r="S151" s="679"/>
    </row>
    <row r="152" spans="2:19" hidden="1" x14ac:dyDescent="0.2">
      <c r="E152" s="702"/>
      <c r="G152" s="656" t="s">
        <v>0</v>
      </c>
      <c r="H152" s="657">
        <f>SUM(H148:H151)</f>
        <v>30942.5</v>
      </c>
      <c r="M152" s="679"/>
      <c r="N152" s="679"/>
      <c r="O152" s="679"/>
      <c r="P152" s="679"/>
      <c r="Q152" s="679"/>
      <c r="R152" s="679"/>
      <c r="S152" s="679"/>
    </row>
    <row r="153" spans="2:19" hidden="1" x14ac:dyDescent="0.2">
      <c r="B153" s="655" t="s">
        <v>1</v>
      </c>
      <c r="C153" s="655" t="s">
        <v>150</v>
      </c>
      <c r="E153" s="702"/>
    </row>
    <row r="154" spans="2:19" hidden="1" x14ac:dyDescent="0.2">
      <c r="C154" s="693" t="s">
        <v>816</v>
      </c>
      <c r="E154" s="691">
        <v>50</v>
      </c>
      <c r="F154" s="694" t="s">
        <v>58</v>
      </c>
      <c r="G154" s="674">
        <f>+[5]H.SATUAN!D73</f>
        <v>1750</v>
      </c>
      <c r="H154" s="657">
        <f>E154*G154</f>
        <v>87500</v>
      </c>
    </row>
    <row r="155" spans="2:19" hidden="1" x14ac:dyDescent="0.2">
      <c r="C155" s="693" t="s">
        <v>576</v>
      </c>
      <c r="E155" s="691">
        <v>0.08</v>
      </c>
      <c r="F155" s="694" t="s">
        <v>506</v>
      </c>
      <c r="G155" s="674">
        <f>+[5]H.SATUAN!D32</f>
        <v>85714.28571428571</v>
      </c>
      <c r="H155" s="657">
        <f>E155*G155</f>
        <v>6857.1428571428569</v>
      </c>
    </row>
    <row r="156" spans="2:19" ht="15" hidden="1" thickBot="1" x14ac:dyDescent="0.25">
      <c r="G156" s="656" t="s">
        <v>0</v>
      </c>
      <c r="H156" s="657">
        <f>SUM(H154:H155)</f>
        <v>94357.142857142855</v>
      </c>
    </row>
    <row r="157" spans="2:19" ht="15.75" hidden="1" thickBot="1" x14ac:dyDescent="0.3">
      <c r="G157" s="656" t="s">
        <v>784</v>
      </c>
      <c r="H157" s="698">
        <f>SUM(H156,H152)</f>
        <v>125299.64285714286</v>
      </c>
    </row>
    <row r="158" spans="2:19" ht="15.75" hidden="1" thickBot="1" x14ac:dyDescent="0.3">
      <c r="F158" s="655" t="s">
        <v>785</v>
      </c>
      <c r="G158" s="700">
        <f>$I$6</f>
        <v>0.15</v>
      </c>
      <c r="H158" s="698">
        <f>H157*G158</f>
        <v>18794.946428571428</v>
      </c>
    </row>
    <row r="159" spans="2:19" ht="15.75" hidden="1" thickBot="1" x14ac:dyDescent="0.3">
      <c r="G159" s="656" t="s">
        <v>780</v>
      </c>
      <c r="H159" s="698">
        <f>H158+H157</f>
        <v>144094.58928571429</v>
      </c>
    </row>
    <row r="160" spans="2:19" hidden="1" x14ac:dyDescent="0.2"/>
    <row r="161" spans="2:8" ht="15" hidden="1" x14ac:dyDescent="0.25">
      <c r="B161" s="703" t="s">
        <v>817</v>
      </c>
      <c r="C161" s="703" t="s">
        <v>818</v>
      </c>
    </row>
    <row r="162" spans="2:8" hidden="1" x14ac:dyDescent="0.2">
      <c r="B162" s="655" t="s">
        <v>556</v>
      </c>
      <c r="C162" s="655" t="s">
        <v>794</v>
      </c>
    </row>
    <row r="163" spans="2:8" hidden="1" x14ac:dyDescent="0.2">
      <c r="C163" s="655" t="s">
        <v>17</v>
      </c>
      <c r="E163" s="704">
        <v>0.2</v>
      </c>
      <c r="F163" s="705" t="s">
        <v>242</v>
      </c>
      <c r="G163" s="674">
        <f>'[5]DAFTAR UPAH'!$G$14</f>
        <v>96000</v>
      </c>
      <c r="H163" s="706">
        <f>E163*G163</f>
        <v>19200</v>
      </c>
    </row>
    <row r="164" spans="2:8" hidden="1" x14ac:dyDescent="0.2">
      <c r="C164" s="655" t="s">
        <v>795</v>
      </c>
      <c r="E164" s="704">
        <v>0.1</v>
      </c>
      <c r="F164" s="705" t="s">
        <v>242</v>
      </c>
      <c r="G164" s="674">
        <f>'[5]DAFTAR UPAH'!$G$13</f>
        <v>115000</v>
      </c>
      <c r="H164" s="706">
        <f>E164*G164</f>
        <v>11500</v>
      </c>
    </row>
    <row r="165" spans="2:8" hidden="1" x14ac:dyDescent="0.2">
      <c r="C165" s="655" t="s">
        <v>796</v>
      </c>
      <c r="E165" s="704">
        <v>1E-3</v>
      </c>
      <c r="F165" s="705" t="s">
        <v>242</v>
      </c>
      <c r="G165" s="674">
        <f>'[5]DAFTAR UPAH'!$G$12</f>
        <v>127500</v>
      </c>
      <c r="H165" s="706">
        <f>E165*G165</f>
        <v>127.5</v>
      </c>
    </row>
    <row r="166" spans="2:8" hidden="1" x14ac:dyDescent="0.2">
      <c r="C166" s="655" t="s">
        <v>19</v>
      </c>
      <c r="E166" s="704">
        <v>1E-3</v>
      </c>
      <c r="F166" s="705" t="s">
        <v>242</v>
      </c>
      <c r="G166" s="674">
        <f>'[5]DAFTAR UPAH'!$G$11</f>
        <v>115000</v>
      </c>
      <c r="H166" s="706">
        <f>E166*G166</f>
        <v>115</v>
      </c>
    </row>
    <row r="167" spans="2:8" hidden="1" x14ac:dyDescent="0.2">
      <c r="E167" s="704"/>
      <c r="F167" s="705"/>
      <c r="G167" s="707" t="s">
        <v>0</v>
      </c>
      <c r="H167" s="706">
        <f>SUM(H163:H166)</f>
        <v>30942.5</v>
      </c>
    </row>
    <row r="168" spans="2:8" hidden="1" x14ac:dyDescent="0.2">
      <c r="B168" s="655" t="s">
        <v>1</v>
      </c>
      <c r="C168" s="655" t="s">
        <v>150</v>
      </c>
      <c r="E168" s="704"/>
      <c r="F168" s="705"/>
      <c r="G168" s="707"/>
      <c r="H168" s="706"/>
    </row>
    <row r="169" spans="2:8" hidden="1" x14ac:dyDescent="0.2">
      <c r="C169" s="655" t="s">
        <v>816</v>
      </c>
      <c r="E169" s="704">
        <v>8.3000000000000007</v>
      </c>
      <c r="F169" s="705" t="s">
        <v>58</v>
      </c>
      <c r="G169" s="689">
        <v>25000</v>
      </c>
      <c r="H169" s="706">
        <f>E169*G169</f>
        <v>207500.00000000003</v>
      </c>
    </row>
    <row r="170" spans="2:8" hidden="1" x14ac:dyDescent="0.2">
      <c r="C170" s="655" t="s">
        <v>576</v>
      </c>
      <c r="E170" s="704">
        <v>5.5E-2</v>
      </c>
      <c r="F170" s="705" t="s">
        <v>506</v>
      </c>
      <c r="G170" s="674">
        <f>+G155</f>
        <v>85714.28571428571</v>
      </c>
      <c r="H170" s="706">
        <f>E170*G170</f>
        <v>4714.2857142857138</v>
      </c>
    </row>
    <row r="171" spans="2:8" ht="15" hidden="1" thickBot="1" x14ac:dyDescent="0.25">
      <c r="E171" s="708"/>
      <c r="F171" s="708"/>
      <c r="G171" s="707" t="s">
        <v>0</v>
      </c>
      <c r="H171" s="706">
        <f>SUM(H169:H170)</f>
        <v>212214.28571428574</v>
      </c>
    </row>
    <row r="172" spans="2:8" ht="15.75" hidden="1" thickBot="1" x14ac:dyDescent="0.3">
      <c r="E172" s="708"/>
      <c r="F172" s="707"/>
      <c r="G172" s="707" t="s">
        <v>784</v>
      </c>
      <c r="H172" s="709">
        <f>SUM(H171,H167)</f>
        <v>243156.78571428574</v>
      </c>
    </row>
    <row r="173" spans="2:8" ht="15.75" hidden="1" thickBot="1" x14ac:dyDescent="0.3">
      <c r="E173" s="708"/>
      <c r="F173" s="707" t="s">
        <v>785</v>
      </c>
      <c r="G173" s="700">
        <f>$I$6</f>
        <v>0.15</v>
      </c>
      <c r="H173" s="709">
        <f>H172*G173</f>
        <v>36473.517857142862</v>
      </c>
    </row>
    <row r="174" spans="2:8" ht="15.75" hidden="1" thickBot="1" x14ac:dyDescent="0.3">
      <c r="E174" s="708"/>
      <c r="F174" s="707"/>
      <c r="G174" s="707" t="s">
        <v>780</v>
      </c>
      <c r="H174" s="709">
        <f>H173+H172</f>
        <v>279630.30357142858</v>
      </c>
    </row>
    <row r="175" spans="2:8" ht="15" hidden="1" x14ac:dyDescent="0.25">
      <c r="E175" s="708"/>
      <c r="F175" s="707"/>
      <c r="G175" s="707"/>
      <c r="H175" s="710"/>
    </row>
    <row r="176" spans="2:8" ht="15" hidden="1" x14ac:dyDescent="0.25">
      <c r="E176" s="708"/>
      <c r="F176" s="707"/>
      <c r="G176" s="707"/>
      <c r="H176" s="710"/>
    </row>
    <row r="177" spans="2:8" ht="15" hidden="1" x14ac:dyDescent="0.25">
      <c r="B177" s="703" t="s">
        <v>819</v>
      </c>
      <c r="C177" s="703" t="s">
        <v>820</v>
      </c>
    </row>
    <row r="178" spans="2:8" hidden="1" x14ac:dyDescent="0.2">
      <c r="B178" s="655" t="s">
        <v>556</v>
      </c>
      <c r="C178" s="655" t="s">
        <v>794</v>
      </c>
    </row>
    <row r="179" spans="2:8" hidden="1" x14ac:dyDescent="0.2">
      <c r="C179" s="655" t="s">
        <v>821</v>
      </c>
      <c r="E179" s="704">
        <v>1</v>
      </c>
      <c r="F179" s="705" t="s">
        <v>132</v>
      </c>
      <c r="G179" s="674">
        <f>'[5]DAFTAR UPAH'!$G$13</f>
        <v>115000</v>
      </c>
      <c r="H179" s="706">
        <f>E179*G179</f>
        <v>115000</v>
      </c>
    </row>
    <row r="180" spans="2:8" hidden="1" x14ac:dyDescent="0.2">
      <c r="C180" s="655" t="s">
        <v>822</v>
      </c>
      <c r="E180" s="704">
        <v>1</v>
      </c>
      <c r="F180" s="705" t="s">
        <v>132</v>
      </c>
      <c r="G180" s="674">
        <v>50000</v>
      </c>
      <c r="H180" s="706">
        <f>E180*G180</f>
        <v>50000</v>
      </c>
    </row>
    <row r="181" spans="2:8" hidden="1" x14ac:dyDescent="0.2">
      <c r="E181" s="704"/>
      <c r="F181" s="705"/>
      <c r="G181" s="707" t="s">
        <v>0</v>
      </c>
      <c r="H181" s="706">
        <f>SUM(H179:H180)</f>
        <v>165000</v>
      </c>
    </row>
    <row r="182" spans="2:8" hidden="1" x14ac:dyDescent="0.2">
      <c r="B182" s="655" t="s">
        <v>1</v>
      </c>
      <c r="C182" s="655" t="s">
        <v>150</v>
      </c>
      <c r="E182" s="704"/>
      <c r="F182" s="705"/>
      <c r="G182" s="707"/>
      <c r="H182" s="706"/>
    </row>
    <row r="183" spans="2:8" hidden="1" x14ac:dyDescent="0.2">
      <c r="C183" s="655" t="s">
        <v>823</v>
      </c>
      <c r="E183" s="704">
        <v>7.8</v>
      </c>
      <c r="F183" s="705" t="s">
        <v>305</v>
      </c>
      <c r="G183" s="689">
        <v>13500</v>
      </c>
      <c r="H183" s="706">
        <f>E183*G183</f>
        <v>105300</v>
      </c>
    </row>
    <row r="184" spans="2:8" hidden="1" x14ac:dyDescent="0.2">
      <c r="C184" s="655" t="s">
        <v>824</v>
      </c>
      <c r="E184" s="704">
        <v>2.93</v>
      </c>
      <c r="F184" s="705" t="s">
        <v>755</v>
      </c>
      <c r="G184" s="689">
        <f>+[5]H.SATUAN!D65</f>
        <v>10500</v>
      </c>
      <c r="H184" s="706">
        <f>E184*G184</f>
        <v>30765</v>
      </c>
    </row>
    <row r="185" spans="2:8" hidden="1" x14ac:dyDescent="0.2">
      <c r="C185" s="655" t="s">
        <v>825</v>
      </c>
      <c r="E185" s="704">
        <v>1.05</v>
      </c>
      <c r="F185" s="705" t="s">
        <v>309</v>
      </c>
      <c r="G185" s="689">
        <v>290000</v>
      </c>
      <c r="H185" s="706">
        <f>E185*G185</f>
        <v>304500</v>
      </c>
    </row>
    <row r="186" spans="2:8" hidden="1" x14ac:dyDescent="0.2">
      <c r="C186" s="655" t="s">
        <v>826</v>
      </c>
      <c r="E186" s="704">
        <v>8</v>
      </c>
      <c r="F186" s="705" t="s">
        <v>308</v>
      </c>
      <c r="G186" s="689">
        <v>7500</v>
      </c>
      <c r="H186" s="706">
        <f>E186*G186</f>
        <v>60000</v>
      </c>
    </row>
    <row r="187" spans="2:8" hidden="1" x14ac:dyDescent="0.2">
      <c r="C187" s="655" t="s">
        <v>827</v>
      </c>
      <c r="E187" s="704">
        <v>2.4</v>
      </c>
      <c r="F187" s="705" t="s">
        <v>305</v>
      </c>
      <c r="G187" s="674">
        <v>75000</v>
      </c>
      <c r="H187" s="706">
        <f>E187*G187</f>
        <v>180000</v>
      </c>
    </row>
    <row r="188" spans="2:8" ht="15" hidden="1" thickBot="1" x14ac:dyDescent="0.25">
      <c r="E188" s="708"/>
      <c r="F188" s="708"/>
      <c r="G188" s="707" t="s">
        <v>0</v>
      </c>
      <c r="H188" s="706">
        <f>SUM(H183:H187)</f>
        <v>680565</v>
      </c>
    </row>
    <row r="189" spans="2:8" ht="15.75" hidden="1" thickBot="1" x14ac:dyDescent="0.3">
      <c r="E189" s="708"/>
      <c r="F189" s="707"/>
      <c r="G189" s="707" t="s">
        <v>784</v>
      </c>
      <c r="H189" s="709">
        <f>H188+H181</f>
        <v>845565</v>
      </c>
    </row>
    <row r="190" spans="2:8" ht="15.75" hidden="1" thickBot="1" x14ac:dyDescent="0.3">
      <c r="E190" s="708"/>
      <c r="F190" s="707" t="s">
        <v>785</v>
      </c>
      <c r="G190" s="700">
        <f>$I$6</f>
        <v>0.15</v>
      </c>
      <c r="H190" s="709">
        <f>H189*G190</f>
        <v>126834.75</v>
      </c>
    </row>
    <row r="191" spans="2:8" ht="15.75" hidden="1" thickBot="1" x14ac:dyDescent="0.3">
      <c r="E191" s="708"/>
      <c r="F191" s="707"/>
      <c r="G191" s="707" t="s">
        <v>780</v>
      </c>
      <c r="H191" s="709">
        <f>H190+H189</f>
        <v>972399.75</v>
      </c>
    </row>
    <row r="192" spans="2:8" ht="15" hidden="1" x14ac:dyDescent="0.25">
      <c r="E192" s="708"/>
      <c r="F192" s="707"/>
      <c r="G192" s="707"/>
      <c r="H192" s="710"/>
    </row>
    <row r="193" spans="2:11" ht="15" hidden="1" x14ac:dyDescent="0.25">
      <c r="E193" s="708"/>
      <c r="F193" s="707"/>
      <c r="G193" s="707"/>
      <c r="H193" s="710"/>
    </row>
    <row r="194" spans="2:11" ht="15" hidden="1" x14ac:dyDescent="0.25">
      <c r="B194" s="687" t="s">
        <v>770</v>
      </c>
      <c r="C194" s="687" t="s">
        <v>828</v>
      </c>
      <c r="D194" s="690"/>
      <c r="E194" s="690"/>
      <c r="F194" s="694"/>
      <c r="G194" s="711"/>
      <c r="H194" s="712"/>
    </row>
    <row r="195" spans="2:11" ht="15.75" hidden="1" customHeight="1" x14ac:dyDescent="0.2">
      <c r="B195" s="713"/>
      <c r="C195" s="714"/>
      <c r="D195" s="714"/>
      <c r="E195" s="714"/>
      <c r="F195" s="714"/>
      <c r="G195" s="715"/>
      <c r="H195" s="716"/>
    </row>
    <row r="196" spans="2:11" hidden="1" x14ac:dyDescent="0.2">
      <c r="B196" s="690" t="s">
        <v>556</v>
      </c>
      <c r="C196" s="690" t="s">
        <v>794</v>
      </c>
      <c r="D196" s="690"/>
      <c r="E196" s="690"/>
      <c r="F196" s="694"/>
      <c r="G196" s="711"/>
      <c r="H196" s="712"/>
    </row>
    <row r="197" spans="2:11" hidden="1" x14ac:dyDescent="0.2">
      <c r="B197" s="690"/>
      <c r="C197" s="690" t="s">
        <v>17</v>
      </c>
      <c r="D197" s="694" t="s">
        <v>557</v>
      </c>
      <c r="E197" s="694" t="s">
        <v>242</v>
      </c>
      <c r="F197" s="691">
        <v>0.1</v>
      </c>
      <c r="G197" s="711">
        <f>'[5]DAFTAR UPAH'!$G$14</f>
        <v>96000</v>
      </c>
      <c r="H197" s="712">
        <f>F197*G197</f>
        <v>9600</v>
      </c>
    </row>
    <row r="198" spans="2:11" hidden="1" x14ac:dyDescent="0.2">
      <c r="B198" s="690"/>
      <c r="C198" s="690" t="s">
        <v>829</v>
      </c>
      <c r="D198" s="694" t="s">
        <v>582</v>
      </c>
      <c r="E198" s="694" t="s">
        <v>242</v>
      </c>
      <c r="F198" s="691">
        <v>0.125</v>
      </c>
      <c r="G198" s="711">
        <f>'[5]DAFTAR UPAH'!$G$13</f>
        <v>115000</v>
      </c>
      <c r="H198" s="712">
        <f>F198*G198</f>
        <v>14375</v>
      </c>
    </row>
    <row r="199" spans="2:11" hidden="1" x14ac:dyDescent="0.2">
      <c r="B199" s="690"/>
      <c r="C199" s="690" t="s">
        <v>796</v>
      </c>
      <c r="D199" s="694" t="s">
        <v>582</v>
      </c>
      <c r="E199" s="694" t="s">
        <v>242</v>
      </c>
      <c r="F199" s="691">
        <f>0.025/2</f>
        <v>1.2500000000000001E-2</v>
      </c>
      <c r="G199" s="711">
        <f>'[5]DAFTAR UPAH'!$G$12</f>
        <v>127500</v>
      </c>
      <c r="H199" s="712">
        <f>F199*G199</f>
        <v>1593.75</v>
      </c>
    </row>
    <row r="200" spans="2:11" hidden="1" x14ac:dyDescent="0.2">
      <c r="B200" s="690"/>
      <c r="C200" s="690" t="s">
        <v>19</v>
      </c>
      <c r="D200" s="694" t="s">
        <v>558</v>
      </c>
      <c r="E200" s="694" t="s">
        <v>242</v>
      </c>
      <c r="F200" s="691">
        <f>0.013/2</f>
        <v>6.4999999999999997E-3</v>
      </c>
      <c r="G200" s="711">
        <f>'[5]DAFTAR UPAH'!$G$11</f>
        <v>115000</v>
      </c>
      <c r="H200" s="712">
        <f>F200*G200</f>
        <v>747.5</v>
      </c>
    </row>
    <row r="201" spans="2:11" hidden="1" x14ac:dyDescent="0.2">
      <c r="B201" s="690"/>
      <c r="C201" s="690"/>
      <c r="D201" s="690"/>
      <c r="E201" s="690"/>
      <c r="F201" s="1565" t="s">
        <v>830</v>
      </c>
      <c r="G201" s="1565"/>
      <c r="H201" s="712">
        <f>SUM(H196:H200)</f>
        <v>26316.25</v>
      </c>
    </row>
    <row r="202" spans="2:11" hidden="1" x14ac:dyDescent="0.2">
      <c r="B202" s="690" t="s">
        <v>1</v>
      </c>
      <c r="C202" s="690" t="s">
        <v>150</v>
      </c>
      <c r="D202" s="690"/>
      <c r="E202" s="690"/>
      <c r="F202" s="694"/>
      <c r="G202" s="711"/>
      <c r="H202" s="712"/>
    </row>
    <row r="203" spans="2:11" hidden="1" x14ac:dyDescent="0.2">
      <c r="B203" s="690"/>
      <c r="C203" s="693" t="s">
        <v>831</v>
      </c>
      <c r="D203" s="690"/>
      <c r="E203" s="697" t="s">
        <v>767</v>
      </c>
      <c r="F203" s="717">
        <f>(1/(0.6*0.6)*2.4)/2</f>
        <v>3.333333333333333</v>
      </c>
      <c r="G203" s="718">
        <v>12200</v>
      </c>
      <c r="H203" s="719">
        <f>F203*G203</f>
        <v>40666.666666666664</v>
      </c>
    </row>
    <row r="204" spans="2:11" hidden="1" x14ac:dyDescent="0.2">
      <c r="B204" s="690"/>
      <c r="C204" s="693" t="s">
        <v>832</v>
      </c>
      <c r="D204" s="690"/>
      <c r="E204" s="697" t="s">
        <v>89</v>
      </c>
      <c r="F204" s="717">
        <f>2/2.88</f>
        <v>0.69444444444444442</v>
      </c>
      <c r="G204" s="718">
        <f>+[5]H.SATUAN!D114</f>
        <v>72250</v>
      </c>
      <c r="H204" s="719">
        <f>G204</f>
        <v>72250</v>
      </c>
    </row>
    <row r="205" spans="2:11" hidden="1" x14ac:dyDescent="0.2">
      <c r="B205" s="690"/>
      <c r="C205" s="690"/>
      <c r="D205" s="690"/>
      <c r="E205" s="690"/>
      <c r="F205" s="1565" t="s">
        <v>833</v>
      </c>
      <c r="G205" s="1565"/>
      <c r="H205" s="712">
        <f>SUM(H203:H204)</f>
        <v>112916.66666666666</v>
      </c>
    </row>
    <row r="206" spans="2:11" hidden="1" x14ac:dyDescent="0.2">
      <c r="B206" s="690" t="s">
        <v>560</v>
      </c>
      <c r="C206" s="690" t="s">
        <v>834</v>
      </c>
      <c r="D206" s="690"/>
      <c r="E206" s="690"/>
      <c r="F206" s="694"/>
      <c r="G206" s="711"/>
      <c r="H206" s="712"/>
    </row>
    <row r="207" spans="2:11" hidden="1" x14ac:dyDescent="0.2">
      <c r="B207" s="690"/>
      <c r="C207" s="690"/>
      <c r="D207" s="690"/>
      <c r="E207" s="690"/>
      <c r="F207" s="694"/>
      <c r="G207" s="711"/>
      <c r="H207" s="712">
        <f>F207*G207</f>
        <v>0</v>
      </c>
      <c r="K207" s="655">
        <f>1.2*2.4</f>
        <v>2.88</v>
      </c>
    </row>
    <row r="208" spans="2:11" hidden="1" x14ac:dyDescent="0.2">
      <c r="B208" s="690"/>
      <c r="C208" s="690"/>
      <c r="D208" s="690"/>
      <c r="E208" s="690"/>
      <c r="F208" s="694" t="s">
        <v>835</v>
      </c>
      <c r="G208" s="711"/>
      <c r="H208" s="712">
        <f>SUM(H207:H207)</f>
        <v>0</v>
      </c>
    </row>
    <row r="209" spans="2:19" hidden="1" x14ac:dyDescent="0.2">
      <c r="B209" s="690"/>
      <c r="C209" s="690"/>
      <c r="D209" s="690"/>
      <c r="E209" s="690"/>
      <c r="F209" s="694"/>
      <c r="G209" s="711"/>
      <c r="H209" s="712"/>
    </row>
    <row r="210" spans="2:19" hidden="1" x14ac:dyDescent="0.2">
      <c r="B210" s="690" t="s">
        <v>564</v>
      </c>
      <c r="C210" s="1566" t="s">
        <v>565</v>
      </c>
      <c r="D210" s="1566"/>
      <c r="E210" s="1566"/>
      <c r="F210" s="1566"/>
      <c r="G210" s="1566"/>
      <c r="H210" s="712">
        <f>H201+H205+H208</f>
        <v>139232.91666666666</v>
      </c>
    </row>
    <row r="211" spans="2:19" hidden="1" x14ac:dyDescent="0.2">
      <c r="B211" s="690" t="s">
        <v>566</v>
      </c>
      <c r="C211" s="1566" t="s">
        <v>785</v>
      </c>
      <c r="D211" s="1566"/>
      <c r="E211" s="1566"/>
      <c r="F211" s="1567">
        <f>G173</f>
        <v>0.15</v>
      </c>
      <c r="G211" s="1566"/>
      <c r="H211" s="712">
        <f>F211*H210</f>
        <v>20884.937499999996</v>
      </c>
    </row>
    <row r="212" spans="2:19" hidden="1" x14ac:dyDescent="0.2">
      <c r="B212" s="690" t="s">
        <v>567</v>
      </c>
      <c r="C212" s="1566" t="s">
        <v>836</v>
      </c>
      <c r="D212" s="1566"/>
      <c r="E212" s="1566"/>
      <c r="F212" s="1566"/>
      <c r="G212" s="1566"/>
      <c r="H212" s="712">
        <f>H210+H211</f>
        <v>160117.85416666666</v>
      </c>
    </row>
    <row r="213" spans="2:19" hidden="1" x14ac:dyDescent="0.2">
      <c r="B213" s="690"/>
      <c r="C213" s="690"/>
      <c r="D213" s="690"/>
      <c r="E213" s="690"/>
      <c r="F213" s="694"/>
      <c r="G213" s="711"/>
      <c r="H213" s="712"/>
    </row>
    <row r="214" spans="2:19" hidden="1" x14ac:dyDescent="0.2">
      <c r="B214" s="690"/>
      <c r="C214" s="690"/>
      <c r="D214" s="690"/>
      <c r="E214" s="690"/>
      <c r="F214" s="694"/>
      <c r="G214" s="711"/>
      <c r="H214" s="712"/>
    </row>
    <row r="215" spans="2:19" ht="15" hidden="1" x14ac:dyDescent="0.25">
      <c r="B215" s="660" t="s">
        <v>837</v>
      </c>
      <c r="C215" s="660" t="s">
        <v>838</v>
      </c>
      <c r="D215" s="679"/>
      <c r="E215" s="661"/>
      <c r="F215" s="664"/>
      <c r="G215" s="662"/>
      <c r="H215" s="667"/>
      <c r="I215" s="660"/>
      <c r="J215" s="672"/>
      <c r="K215" s="672"/>
      <c r="L215" s="670"/>
      <c r="M215" s="664"/>
      <c r="N215" s="664"/>
      <c r="O215" s="665"/>
      <c r="P215" s="673"/>
      <c r="Q215" s="665"/>
      <c r="R215" s="677"/>
      <c r="S215" s="679"/>
    </row>
    <row r="216" spans="2:19" ht="15" hidden="1" x14ac:dyDescent="0.25">
      <c r="B216" s="665"/>
      <c r="C216" s="672" t="s">
        <v>5</v>
      </c>
      <c r="D216" s="679"/>
      <c r="E216" s="661"/>
      <c r="F216" s="664"/>
      <c r="G216" s="673"/>
      <c r="H216" s="667"/>
      <c r="I216" s="660"/>
      <c r="J216" s="672"/>
      <c r="K216" s="672"/>
      <c r="L216" s="670"/>
      <c r="M216" s="664"/>
      <c r="N216" s="664"/>
      <c r="O216" s="665"/>
      <c r="P216" s="673"/>
      <c r="Q216" s="678"/>
      <c r="R216" s="677"/>
      <c r="S216" s="679"/>
    </row>
    <row r="217" spans="2:19" ht="15" hidden="1" x14ac:dyDescent="0.25">
      <c r="B217" s="665"/>
      <c r="C217" s="672" t="s">
        <v>839</v>
      </c>
      <c r="D217" s="679"/>
      <c r="E217" s="661">
        <v>1</v>
      </c>
      <c r="F217" s="664" t="s">
        <v>309</v>
      </c>
      <c r="G217" s="673">
        <f>+[5]H.SATUAN!D67</f>
        <v>1100000</v>
      </c>
      <c r="H217" s="667">
        <f>E217*G217</f>
        <v>1100000</v>
      </c>
      <c r="I217" s="660"/>
      <c r="J217" s="672"/>
      <c r="K217" s="672"/>
      <c r="L217" s="670"/>
      <c r="M217" s="664"/>
      <c r="N217" s="664"/>
      <c r="O217" s="665"/>
      <c r="P217" s="673"/>
      <c r="Q217" s="678"/>
      <c r="R217" s="677"/>
      <c r="S217" s="679"/>
    </row>
    <row r="218" spans="2:19" ht="15" hidden="1" x14ac:dyDescent="0.25">
      <c r="B218" s="665"/>
      <c r="C218" s="672"/>
      <c r="D218" s="679"/>
      <c r="E218" s="661"/>
      <c r="F218" s="664"/>
      <c r="G218" s="673"/>
      <c r="H218" s="681"/>
      <c r="I218" s="660"/>
      <c r="J218" s="672"/>
      <c r="K218" s="672"/>
      <c r="L218" s="670"/>
      <c r="M218" s="664"/>
      <c r="N218" s="664"/>
      <c r="O218" s="665"/>
      <c r="P218" s="673"/>
      <c r="Q218" s="678"/>
      <c r="R218" s="677"/>
      <c r="S218" s="679"/>
    </row>
    <row r="219" spans="2:19" ht="15" hidden="1" x14ac:dyDescent="0.25">
      <c r="B219" s="665"/>
      <c r="C219" s="672"/>
      <c r="D219" s="679"/>
      <c r="E219" s="661"/>
      <c r="F219" s="664"/>
      <c r="G219" s="673"/>
      <c r="H219" s="667"/>
      <c r="I219" s="660"/>
      <c r="J219" s="672"/>
      <c r="K219" s="672"/>
      <c r="L219" s="670"/>
      <c r="M219" s="664"/>
      <c r="N219" s="664"/>
      <c r="O219" s="665"/>
      <c r="P219" s="673"/>
      <c r="Q219" s="678"/>
      <c r="R219" s="677"/>
      <c r="S219" s="679"/>
    </row>
    <row r="220" spans="2:19" ht="15" hidden="1" x14ac:dyDescent="0.25">
      <c r="B220" s="660"/>
      <c r="C220" s="672" t="s">
        <v>15</v>
      </c>
      <c r="D220" s="679"/>
      <c r="E220" s="661"/>
      <c r="F220" s="664"/>
      <c r="G220" s="673"/>
      <c r="H220" s="667"/>
      <c r="I220" s="660"/>
      <c r="J220" s="672"/>
      <c r="K220" s="672"/>
      <c r="L220" s="670"/>
      <c r="M220" s="664"/>
      <c r="N220" s="664"/>
      <c r="O220" s="665"/>
      <c r="P220" s="673"/>
      <c r="Q220" s="678"/>
      <c r="R220" s="659"/>
      <c r="S220" s="679"/>
    </row>
    <row r="221" spans="2:19" ht="15" hidden="1" x14ac:dyDescent="0.25">
      <c r="B221" s="660"/>
      <c r="C221" s="672" t="s">
        <v>17</v>
      </c>
      <c r="D221" s="679"/>
      <c r="E221" s="661">
        <v>1.05</v>
      </c>
      <c r="F221" s="671" t="s">
        <v>16</v>
      </c>
      <c r="G221" s="674">
        <f>'[5]DAFTAR UPAH'!$G$14</f>
        <v>96000</v>
      </c>
      <c r="H221" s="667">
        <f>E221*G221</f>
        <v>100800</v>
      </c>
      <c r="I221" s="660"/>
      <c r="J221" s="672"/>
      <c r="K221" s="672"/>
      <c r="L221" s="670"/>
      <c r="M221" s="1563"/>
      <c r="N221" s="1563"/>
      <c r="O221" s="1563"/>
      <c r="P221" s="1563"/>
      <c r="Q221" s="678"/>
      <c r="R221" s="659"/>
      <c r="S221" s="679"/>
    </row>
    <row r="222" spans="2:19" ht="15" hidden="1" x14ac:dyDescent="0.25">
      <c r="B222" s="660"/>
      <c r="C222" s="672" t="s">
        <v>103</v>
      </c>
      <c r="D222" s="679"/>
      <c r="E222" s="661">
        <f>E221</f>
        <v>1.05</v>
      </c>
      <c r="F222" s="671" t="s">
        <v>16</v>
      </c>
      <c r="G222" s="674">
        <f>'[5]DAFTAR UPAH'!$G$13</f>
        <v>115000</v>
      </c>
      <c r="H222" s="667">
        <f>E222*G222</f>
        <v>120750</v>
      </c>
      <c r="I222" s="660"/>
      <c r="J222" s="672"/>
      <c r="K222" s="672"/>
      <c r="L222" s="683"/>
      <c r="M222" s="662"/>
      <c r="N222" s="662"/>
      <c r="O222" s="662"/>
      <c r="P222" s="662"/>
      <c r="Q222" s="664"/>
      <c r="R222" s="659"/>
      <c r="S222" s="679"/>
    </row>
    <row r="223" spans="2:19" ht="15" hidden="1" x14ac:dyDescent="0.25">
      <c r="B223" s="660"/>
      <c r="C223" s="672" t="s">
        <v>93</v>
      </c>
      <c r="D223" s="679"/>
      <c r="E223" s="661">
        <f>0.105</f>
        <v>0.105</v>
      </c>
      <c r="F223" s="671" t="s">
        <v>16</v>
      </c>
      <c r="G223" s="674">
        <f>'[5]DAFTAR UPAH'!$G$12</f>
        <v>127500</v>
      </c>
      <c r="H223" s="667">
        <f>E223*G223</f>
        <v>13387.5</v>
      </c>
      <c r="I223" s="660"/>
      <c r="J223" s="672"/>
      <c r="K223" s="672"/>
      <c r="L223" s="683"/>
      <c r="M223" s="662"/>
      <c r="N223" s="662"/>
      <c r="O223" s="662"/>
      <c r="P223" s="662"/>
      <c r="Q223" s="664"/>
      <c r="R223" s="659"/>
      <c r="S223" s="679"/>
    </row>
    <row r="224" spans="2:19" ht="15" hidden="1" x14ac:dyDescent="0.25">
      <c r="B224" s="660"/>
      <c r="C224" s="672" t="s">
        <v>19</v>
      </c>
      <c r="D224" s="665"/>
      <c r="E224" s="661">
        <v>5.1999999999999998E-3</v>
      </c>
      <c r="F224" s="671" t="s">
        <v>16</v>
      </c>
      <c r="G224" s="674">
        <f>'[5]DAFTAR UPAH'!$G$11</f>
        <v>115000</v>
      </c>
      <c r="H224" s="667">
        <f>E224*G224</f>
        <v>598</v>
      </c>
      <c r="I224" s="660"/>
      <c r="J224" s="672"/>
      <c r="K224" s="672"/>
      <c r="L224" s="683"/>
      <c r="M224" s="662"/>
      <c r="N224" s="662"/>
      <c r="O224" s="662"/>
      <c r="P224" s="673"/>
      <c r="Q224" s="664"/>
      <c r="R224" s="659"/>
      <c r="S224" s="679"/>
    </row>
    <row r="225" spans="2:19" ht="15.75" hidden="1" thickBot="1" x14ac:dyDescent="0.3">
      <c r="B225" s="660"/>
      <c r="C225" s="665"/>
      <c r="D225" s="665"/>
      <c r="E225" s="661"/>
      <c r="F225" s="679"/>
      <c r="G225" s="662"/>
      <c r="H225" s="667">
        <f>SUM(H221:H224)</f>
        <v>235535.5</v>
      </c>
      <c r="I225" s="660"/>
      <c r="J225" s="672"/>
      <c r="K225" s="672"/>
      <c r="L225" s="683"/>
      <c r="M225" s="662"/>
      <c r="N225" s="662"/>
      <c r="O225" s="662"/>
      <c r="P225" s="673"/>
      <c r="Q225" s="664"/>
      <c r="R225" s="659"/>
      <c r="S225" s="679"/>
    </row>
    <row r="226" spans="2:19" ht="15.75" hidden="1" thickBot="1" x14ac:dyDescent="0.3">
      <c r="B226" s="660"/>
      <c r="C226" s="665"/>
      <c r="D226" s="665"/>
      <c r="E226" s="682"/>
      <c r="F226" s="662"/>
      <c r="G226" s="662" t="s">
        <v>784</v>
      </c>
      <c r="H226" s="668">
        <f>SUM(H225,H217)</f>
        <v>1335535.5</v>
      </c>
      <c r="I226" s="669"/>
      <c r="J226" s="672"/>
      <c r="K226" s="672"/>
      <c r="L226" s="683"/>
      <c r="M226" s="662"/>
      <c r="N226" s="662"/>
      <c r="O226" s="662"/>
      <c r="P226" s="673"/>
      <c r="Q226" s="664"/>
      <c r="R226" s="659"/>
      <c r="S226" s="679"/>
    </row>
    <row r="227" spans="2:19" ht="15.75" hidden="1" thickBot="1" x14ac:dyDescent="0.3">
      <c r="B227" s="660"/>
      <c r="C227" s="665"/>
      <c r="D227" s="665"/>
      <c r="E227" s="682"/>
      <c r="F227" s="662" t="s">
        <v>785</v>
      </c>
      <c r="G227" s="680">
        <f>$I$6</f>
        <v>0.15</v>
      </c>
      <c r="H227" s="668">
        <f>H226*G227</f>
        <v>200330.32499999998</v>
      </c>
      <c r="I227" s="669"/>
      <c r="J227" s="669"/>
      <c r="L227" s="670"/>
      <c r="M227" s="664"/>
      <c r="N227" s="664"/>
      <c r="O227" s="665"/>
      <c r="P227" s="673"/>
      <c r="Q227" s="678"/>
      <c r="R227" s="677"/>
      <c r="S227" s="679"/>
    </row>
    <row r="228" spans="2:19" ht="15.75" hidden="1" thickBot="1" x14ac:dyDescent="0.3">
      <c r="B228" s="679"/>
      <c r="C228" s="679"/>
      <c r="D228" s="679"/>
      <c r="E228" s="679"/>
      <c r="F228" s="679"/>
      <c r="G228" s="662" t="s">
        <v>780</v>
      </c>
      <c r="H228" s="668">
        <f>H227+H226</f>
        <v>1535865.825</v>
      </c>
      <c r="I228" s="671"/>
      <c r="J228" s="672"/>
      <c r="L228" s="670"/>
      <c r="M228" s="664"/>
      <c r="N228" s="664"/>
      <c r="O228" s="665"/>
      <c r="P228" s="673"/>
      <c r="Q228" s="678"/>
      <c r="R228" s="677"/>
      <c r="S228" s="679"/>
    </row>
    <row r="229" spans="2:19" hidden="1" x14ac:dyDescent="0.2"/>
    <row r="230" spans="2:19" hidden="1" x14ac:dyDescent="0.2"/>
    <row r="231" spans="2:19" ht="15" hidden="1" x14ac:dyDescent="0.25">
      <c r="B231" s="669" t="s">
        <v>840</v>
      </c>
      <c r="C231" s="660" t="s">
        <v>841</v>
      </c>
      <c r="D231" s="679"/>
      <c r="E231" s="661"/>
      <c r="F231" s="664"/>
      <c r="G231" s="662"/>
      <c r="H231" s="667"/>
    </row>
    <row r="232" spans="2:19" hidden="1" x14ac:dyDescent="0.2">
      <c r="B232" s="665"/>
      <c r="C232" s="672" t="s">
        <v>5</v>
      </c>
      <c r="D232" s="679"/>
      <c r="E232" s="661"/>
      <c r="F232" s="664"/>
      <c r="G232" s="673"/>
      <c r="H232" s="667"/>
    </row>
    <row r="233" spans="2:19" hidden="1" x14ac:dyDescent="0.2">
      <c r="B233" s="665"/>
      <c r="C233" s="672" t="s">
        <v>762</v>
      </c>
      <c r="D233" s="679"/>
      <c r="E233" s="661">
        <v>0.4</v>
      </c>
      <c r="F233" s="664" t="s">
        <v>12</v>
      </c>
      <c r="G233" s="673">
        <v>75000</v>
      </c>
      <c r="H233" s="667">
        <f>E233*G233</f>
        <v>30000</v>
      </c>
    </row>
    <row r="234" spans="2:19" hidden="1" x14ac:dyDescent="0.2">
      <c r="B234" s="665"/>
      <c r="C234" s="672" t="s">
        <v>842</v>
      </c>
      <c r="D234" s="679"/>
      <c r="E234" s="661">
        <v>0.3</v>
      </c>
      <c r="F234" s="664" t="s">
        <v>74</v>
      </c>
      <c r="G234" s="673">
        <v>8500</v>
      </c>
      <c r="H234" s="667">
        <f>E234*G234</f>
        <v>2550</v>
      </c>
    </row>
    <row r="235" spans="2:19" hidden="1" x14ac:dyDescent="0.2">
      <c r="B235" s="665"/>
      <c r="C235" s="672" t="s">
        <v>843</v>
      </c>
      <c r="D235" s="679"/>
      <c r="E235" s="661">
        <v>0.04</v>
      </c>
      <c r="F235" s="664" t="s">
        <v>74</v>
      </c>
      <c r="G235" s="673">
        <v>24000</v>
      </c>
      <c r="H235" s="667">
        <f>E235*G235</f>
        <v>960</v>
      </c>
    </row>
    <row r="236" spans="2:19" hidden="1" x14ac:dyDescent="0.2">
      <c r="B236" s="665"/>
      <c r="C236" s="672"/>
      <c r="D236" s="679"/>
      <c r="E236" s="661"/>
      <c r="F236" s="664"/>
      <c r="G236" s="673"/>
      <c r="H236" s="667">
        <f>SUM(H233:H235)</f>
        <v>33510</v>
      </c>
    </row>
    <row r="237" spans="2:19" ht="15" hidden="1" x14ac:dyDescent="0.25">
      <c r="B237" s="665"/>
      <c r="C237" s="672"/>
      <c r="D237" s="679"/>
      <c r="E237" s="661"/>
      <c r="F237" s="664"/>
      <c r="G237" s="673"/>
      <c r="H237" s="681"/>
    </row>
    <row r="238" spans="2:19" hidden="1" x14ac:dyDescent="0.2">
      <c r="B238" s="665"/>
      <c r="C238" s="672"/>
      <c r="D238" s="679"/>
      <c r="E238" s="661"/>
      <c r="F238" s="664"/>
      <c r="G238" s="673"/>
      <c r="H238" s="667"/>
    </row>
    <row r="239" spans="2:19" ht="15" hidden="1" x14ac:dyDescent="0.25">
      <c r="B239" s="660"/>
      <c r="C239" s="672" t="s">
        <v>15</v>
      </c>
      <c r="D239" s="679"/>
      <c r="E239" s="661"/>
      <c r="F239" s="664"/>
      <c r="G239" s="673"/>
      <c r="H239" s="667"/>
    </row>
    <row r="240" spans="2:19" ht="15" hidden="1" x14ac:dyDescent="0.25">
      <c r="B240" s="660"/>
      <c r="C240" s="672" t="s">
        <v>17</v>
      </c>
      <c r="D240" s="679"/>
      <c r="E240" s="661">
        <v>0.04</v>
      </c>
      <c r="F240" s="671" t="s">
        <v>16</v>
      </c>
      <c r="G240" s="674">
        <f>'[5]DAFTAR UPAH'!$G$14</f>
        <v>96000</v>
      </c>
      <c r="H240" s="667">
        <f>E240*G240</f>
        <v>3840</v>
      </c>
    </row>
    <row r="241" spans="2:8" ht="15" hidden="1" x14ac:dyDescent="0.25">
      <c r="B241" s="660"/>
      <c r="C241" s="672" t="s">
        <v>788</v>
      </c>
      <c r="D241" s="679"/>
      <c r="E241" s="661">
        <v>0.02</v>
      </c>
      <c r="F241" s="671" t="s">
        <v>16</v>
      </c>
      <c r="G241" s="674">
        <f>'[5]DAFTAR UPAH'!$G$13</f>
        <v>115000</v>
      </c>
      <c r="H241" s="667">
        <f>E241*G241</f>
        <v>2300</v>
      </c>
    </row>
    <row r="242" spans="2:8" ht="15" hidden="1" x14ac:dyDescent="0.25">
      <c r="B242" s="660"/>
      <c r="C242" s="672" t="s">
        <v>93</v>
      </c>
      <c r="D242" s="679"/>
      <c r="E242" s="661">
        <v>2E-3</v>
      </c>
      <c r="F242" s="671" t="s">
        <v>16</v>
      </c>
      <c r="G242" s="674">
        <f>'[5]DAFTAR UPAH'!$G$12</f>
        <v>127500</v>
      </c>
      <c r="H242" s="667">
        <f>E242*G242</f>
        <v>255</v>
      </c>
    </row>
    <row r="243" spans="2:8" ht="15" hidden="1" x14ac:dyDescent="0.25">
      <c r="B243" s="660"/>
      <c r="C243" s="672" t="s">
        <v>19</v>
      </c>
      <c r="D243" s="665"/>
      <c r="E243" s="661">
        <v>2E-3</v>
      </c>
      <c r="F243" s="671" t="s">
        <v>16</v>
      </c>
      <c r="G243" s="674">
        <f>'[5]DAFTAR UPAH'!$G$11</f>
        <v>115000</v>
      </c>
      <c r="H243" s="667">
        <f>E243*G243</f>
        <v>230</v>
      </c>
    </row>
    <row r="244" spans="2:8" ht="15" hidden="1" x14ac:dyDescent="0.25">
      <c r="B244" s="660"/>
      <c r="C244" s="665"/>
      <c r="D244" s="665"/>
      <c r="E244" s="661"/>
      <c r="F244" s="679"/>
      <c r="G244" s="662"/>
      <c r="H244" s="667">
        <f>SUM(H240:H243)</f>
        <v>6625</v>
      </c>
    </row>
    <row r="245" spans="2:8" ht="15" hidden="1" x14ac:dyDescent="0.25">
      <c r="B245" s="660"/>
      <c r="C245" s="672" t="s">
        <v>844</v>
      </c>
      <c r="D245" s="679"/>
      <c r="E245" s="661"/>
      <c r="F245" s="664"/>
      <c r="G245" s="673"/>
      <c r="H245" s="667"/>
    </row>
    <row r="246" spans="2:8" ht="15" hidden="1" x14ac:dyDescent="0.25">
      <c r="B246" s="660"/>
      <c r="C246" s="672" t="s">
        <v>845</v>
      </c>
      <c r="D246" s="679"/>
      <c r="E246" s="661">
        <v>0.17</v>
      </c>
      <c r="F246" s="671" t="s">
        <v>846</v>
      </c>
      <c r="G246" s="674" t="e">
        <f>#REF!</f>
        <v>#REF!</v>
      </c>
      <c r="H246" s="667" t="e">
        <f>E246*G246</f>
        <v>#REF!</v>
      </c>
    </row>
    <row r="247" spans="2:8" ht="15.75" hidden="1" thickBot="1" x14ac:dyDescent="0.3">
      <c r="B247" s="660"/>
      <c r="C247" s="672"/>
      <c r="D247" s="679"/>
      <c r="E247" s="661"/>
      <c r="F247" s="671"/>
      <c r="G247" s="674"/>
      <c r="H247" s="667" t="e">
        <f>SUM(H246)</f>
        <v>#REF!</v>
      </c>
    </row>
    <row r="248" spans="2:8" ht="15.75" hidden="1" thickBot="1" x14ac:dyDescent="0.3">
      <c r="B248" s="660"/>
      <c r="C248" s="665"/>
      <c r="D248" s="665"/>
      <c r="E248" s="682"/>
      <c r="F248" s="662"/>
      <c r="G248" s="662" t="s">
        <v>784</v>
      </c>
      <c r="H248" s="668" t="e">
        <f>SUM(H244,H236,H247)</f>
        <v>#REF!</v>
      </c>
    </row>
    <row r="249" spans="2:8" ht="15.75" hidden="1" thickBot="1" x14ac:dyDescent="0.3">
      <c r="B249" s="660"/>
      <c r="C249" s="665"/>
      <c r="D249" s="665"/>
      <c r="E249" s="682"/>
      <c r="F249" s="662" t="s">
        <v>785</v>
      </c>
      <c r="G249" s="680">
        <f>$I$6</f>
        <v>0.15</v>
      </c>
      <c r="H249" s="668" t="e">
        <f>H248*G249</f>
        <v>#REF!</v>
      </c>
    </row>
    <row r="250" spans="2:8" ht="15.75" hidden="1" thickBot="1" x14ac:dyDescent="0.3">
      <c r="B250" s="679"/>
      <c r="C250" s="679"/>
      <c r="D250" s="679"/>
      <c r="E250" s="679"/>
      <c r="F250" s="679"/>
      <c r="G250" s="662" t="s">
        <v>847</v>
      </c>
      <c r="H250" s="668" t="e">
        <f>(H249+H248)</f>
        <v>#REF!</v>
      </c>
    </row>
    <row r="251" spans="2:8" hidden="1" x14ac:dyDescent="0.2"/>
    <row r="252" spans="2:8" hidden="1" x14ac:dyDescent="0.2"/>
    <row r="253" spans="2:8" hidden="1" x14ac:dyDescent="0.2"/>
    <row r="254" spans="2:8" ht="15" hidden="1" x14ac:dyDescent="0.25">
      <c r="B254" s="720" t="s">
        <v>770</v>
      </c>
      <c r="C254" s="687" t="s">
        <v>848</v>
      </c>
      <c r="D254" s="690"/>
      <c r="E254" s="690"/>
      <c r="F254" s="694"/>
      <c r="G254" s="711"/>
      <c r="H254" s="712"/>
    </row>
    <row r="255" spans="2:8" hidden="1" x14ac:dyDescent="0.2">
      <c r="B255" s="713"/>
      <c r="C255" s="714"/>
      <c r="D255" s="714"/>
      <c r="E255" s="714"/>
      <c r="F255" s="714"/>
      <c r="G255" s="715"/>
      <c r="H255" s="716"/>
    </row>
    <row r="256" spans="2:8" hidden="1" x14ac:dyDescent="0.2">
      <c r="B256" s="690" t="s">
        <v>556</v>
      </c>
      <c r="C256" s="690" t="s">
        <v>794</v>
      </c>
      <c r="D256" s="690"/>
      <c r="E256" s="690"/>
      <c r="F256" s="694"/>
      <c r="G256" s="711"/>
      <c r="H256" s="712"/>
    </row>
    <row r="257" spans="2:8" hidden="1" x14ac:dyDescent="0.2">
      <c r="B257" s="690"/>
      <c r="C257" s="690" t="s">
        <v>17</v>
      </c>
      <c r="D257" s="694" t="s">
        <v>557</v>
      </c>
      <c r="E257" s="694" t="s">
        <v>242</v>
      </c>
      <c r="F257" s="691">
        <v>0.108</v>
      </c>
      <c r="G257" s="711">
        <f>'[5]DAFTAR UPAH'!$G$14</f>
        <v>96000</v>
      </c>
      <c r="H257" s="712">
        <f>F257*G257</f>
        <v>10368</v>
      </c>
    </row>
    <row r="258" spans="2:8" hidden="1" x14ac:dyDescent="0.2">
      <c r="B258" s="690"/>
      <c r="C258" s="690" t="s">
        <v>849</v>
      </c>
      <c r="D258" s="694" t="s">
        <v>581</v>
      </c>
      <c r="E258" s="694" t="s">
        <v>242</v>
      </c>
      <c r="F258" s="695">
        <v>0.18</v>
      </c>
      <c r="G258" s="711">
        <f>'[5]DAFTAR UPAH'!$G$13</f>
        <v>115000</v>
      </c>
      <c r="H258" s="712">
        <f>F258*G258</f>
        <v>20700</v>
      </c>
    </row>
    <row r="259" spans="2:8" hidden="1" x14ac:dyDescent="0.2">
      <c r="B259" s="690"/>
      <c r="C259" s="690" t="s">
        <v>93</v>
      </c>
      <c r="D259" s="694" t="s">
        <v>582</v>
      </c>
      <c r="E259" s="694" t="s">
        <v>242</v>
      </c>
      <c r="F259" s="691">
        <v>1.7999999999999999E-2</v>
      </c>
      <c r="G259" s="711">
        <f>'[5]DAFTAR UPAH'!$G$12</f>
        <v>127500</v>
      </c>
      <c r="H259" s="712">
        <f>F259*G259</f>
        <v>2295</v>
      </c>
    </row>
    <row r="260" spans="2:8" hidden="1" x14ac:dyDescent="0.2">
      <c r="B260" s="690"/>
      <c r="C260" s="690" t="s">
        <v>19</v>
      </c>
      <c r="D260" s="694" t="s">
        <v>558</v>
      </c>
      <c r="E260" s="694" t="s">
        <v>242</v>
      </c>
      <c r="F260" s="691">
        <v>5.0000000000000001E-3</v>
      </c>
      <c r="G260" s="711">
        <f>'[5]DAFTAR UPAH'!$G$11</f>
        <v>115000</v>
      </c>
      <c r="H260" s="712">
        <f>F260*G260</f>
        <v>575</v>
      </c>
    </row>
    <row r="261" spans="2:8" hidden="1" x14ac:dyDescent="0.2">
      <c r="B261" s="690"/>
      <c r="C261" s="690"/>
      <c r="D261" s="690"/>
      <c r="E261" s="690"/>
      <c r="F261" s="1565" t="s">
        <v>830</v>
      </c>
      <c r="G261" s="1565"/>
      <c r="H261" s="721">
        <f>SUM(H256:H260)</f>
        <v>33938</v>
      </c>
    </row>
    <row r="262" spans="2:8" hidden="1" x14ac:dyDescent="0.2">
      <c r="B262" s="690" t="s">
        <v>1</v>
      </c>
      <c r="C262" s="690" t="s">
        <v>150</v>
      </c>
      <c r="D262" s="690"/>
      <c r="E262" s="690"/>
      <c r="F262" s="694"/>
      <c r="G262" s="711"/>
      <c r="H262" s="712"/>
    </row>
    <row r="263" spans="2:8" hidden="1" x14ac:dyDescent="0.2">
      <c r="B263" s="690"/>
      <c r="C263" s="690" t="s">
        <v>850</v>
      </c>
      <c r="D263" s="690"/>
      <c r="E263" s="697" t="s">
        <v>669</v>
      </c>
      <c r="F263" s="695">
        <v>1.2</v>
      </c>
      <c r="G263" s="711">
        <v>37500</v>
      </c>
      <c r="H263" s="712">
        <f>F263*G263</f>
        <v>45000</v>
      </c>
    </row>
    <row r="264" spans="2:8" hidden="1" x14ac:dyDescent="0.2">
      <c r="B264" s="690"/>
      <c r="C264" s="690"/>
      <c r="D264" s="690"/>
      <c r="E264" s="690"/>
      <c r="F264" s="1565" t="s">
        <v>833</v>
      </c>
      <c r="G264" s="1565"/>
      <c r="H264" s="712">
        <f>SUM(H263:H263)</f>
        <v>45000</v>
      </c>
    </row>
    <row r="265" spans="2:8" hidden="1" x14ac:dyDescent="0.2">
      <c r="B265" s="690" t="s">
        <v>560</v>
      </c>
      <c r="C265" s="690" t="s">
        <v>834</v>
      </c>
      <c r="D265" s="690"/>
      <c r="E265" s="690"/>
      <c r="F265" s="694"/>
      <c r="G265" s="711"/>
      <c r="H265" s="712"/>
    </row>
    <row r="266" spans="2:8" hidden="1" x14ac:dyDescent="0.2">
      <c r="B266" s="690"/>
      <c r="C266" s="690"/>
      <c r="D266" s="690"/>
      <c r="E266" s="690"/>
      <c r="F266" s="694"/>
      <c r="G266" s="711"/>
      <c r="H266" s="712">
        <f>F266*G266</f>
        <v>0</v>
      </c>
    </row>
    <row r="267" spans="2:8" hidden="1" x14ac:dyDescent="0.2">
      <c r="B267" s="690"/>
      <c r="C267" s="690"/>
      <c r="D267" s="690"/>
      <c r="E267" s="690"/>
      <c r="F267" s="1565" t="s">
        <v>835</v>
      </c>
      <c r="G267" s="1565"/>
      <c r="H267" s="712">
        <f>SUM(H266:H266)</f>
        <v>0</v>
      </c>
    </row>
    <row r="268" spans="2:8" hidden="1" x14ac:dyDescent="0.2">
      <c r="B268" s="690"/>
      <c r="C268" s="690"/>
      <c r="D268" s="690"/>
      <c r="E268" s="690"/>
      <c r="F268" s="694"/>
      <c r="G268" s="711"/>
      <c r="H268" s="712"/>
    </row>
    <row r="269" spans="2:8" hidden="1" x14ac:dyDescent="0.2">
      <c r="B269" s="690" t="s">
        <v>564</v>
      </c>
      <c r="C269" s="1566" t="s">
        <v>565</v>
      </c>
      <c r="D269" s="1566"/>
      <c r="E269" s="1566"/>
      <c r="F269" s="1566"/>
      <c r="G269" s="1566"/>
      <c r="H269" s="712">
        <f>H261+H264+H267</f>
        <v>78938</v>
      </c>
    </row>
    <row r="270" spans="2:8" hidden="1" x14ac:dyDescent="0.2">
      <c r="B270" s="690" t="s">
        <v>566</v>
      </c>
      <c r="C270" s="1566" t="s">
        <v>785</v>
      </c>
      <c r="D270" s="1566"/>
      <c r="E270" s="1566"/>
      <c r="F270" s="1567">
        <f>G249</f>
        <v>0.15</v>
      </c>
      <c r="G270" s="1566"/>
      <c r="H270" s="712">
        <f>F270*H269</f>
        <v>11840.699999999999</v>
      </c>
    </row>
    <row r="271" spans="2:8" hidden="1" x14ac:dyDescent="0.2">
      <c r="B271" s="690" t="s">
        <v>567</v>
      </c>
      <c r="C271" s="1566" t="s">
        <v>836</v>
      </c>
      <c r="D271" s="1566"/>
      <c r="E271" s="1566"/>
      <c r="F271" s="1566"/>
      <c r="G271" s="1566"/>
      <c r="H271" s="712">
        <f>H269+H270</f>
        <v>90778.7</v>
      </c>
    </row>
    <row r="272" spans="2:8" hidden="1" x14ac:dyDescent="0.2">
      <c r="B272" s="690"/>
      <c r="C272" s="690"/>
      <c r="D272" s="690"/>
      <c r="E272" s="690"/>
      <c r="F272" s="694"/>
      <c r="G272" s="711"/>
      <c r="H272" s="712"/>
    </row>
    <row r="273" spans="2:8" hidden="1" x14ac:dyDescent="0.2">
      <c r="B273" s="690"/>
      <c r="C273" s="690"/>
      <c r="D273" s="690"/>
      <c r="E273" s="690"/>
      <c r="F273" s="694"/>
      <c r="G273" s="711"/>
      <c r="H273" s="712"/>
    </row>
    <row r="274" spans="2:8" ht="15" hidden="1" x14ac:dyDescent="0.25">
      <c r="B274" s="720" t="s">
        <v>770</v>
      </c>
      <c r="C274" s="687" t="s">
        <v>851</v>
      </c>
      <c r="D274" s="690"/>
      <c r="E274" s="690"/>
      <c r="F274" s="694"/>
      <c r="G274" s="711"/>
      <c r="H274" s="712"/>
    </row>
    <row r="275" spans="2:8" ht="16.5" hidden="1" customHeight="1" x14ac:dyDescent="0.2">
      <c r="B275" s="713"/>
      <c r="C275" s="714"/>
      <c r="D275" s="714"/>
      <c r="E275" s="714"/>
      <c r="F275" s="714"/>
      <c r="G275" s="715"/>
      <c r="H275" s="716"/>
    </row>
    <row r="276" spans="2:8" hidden="1" x14ac:dyDescent="0.2">
      <c r="B276" s="690" t="s">
        <v>556</v>
      </c>
      <c r="C276" s="690" t="s">
        <v>794</v>
      </c>
      <c r="D276" s="690"/>
      <c r="E276" s="690"/>
      <c r="F276" s="694"/>
      <c r="G276" s="711"/>
      <c r="H276" s="712"/>
    </row>
    <row r="277" spans="2:8" hidden="1" x14ac:dyDescent="0.2">
      <c r="B277" s="690"/>
      <c r="C277" s="690" t="s">
        <v>17</v>
      </c>
      <c r="D277" s="694" t="s">
        <v>557</v>
      </c>
      <c r="E277" s="694" t="s">
        <v>242</v>
      </c>
      <c r="F277" s="691">
        <v>0.13500000000000001</v>
      </c>
      <c r="G277" s="711">
        <f>'[5]DAFTAR UPAH'!$G$14</f>
        <v>96000</v>
      </c>
      <c r="H277" s="712">
        <f>F277*G277</f>
        <v>12960</v>
      </c>
    </row>
    <row r="278" spans="2:8" hidden="1" x14ac:dyDescent="0.2">
      <c r="B278" s="690"/>
      <c r="C278" s="690" t="s">
        <v>849</v>
      </c>
      <c r="D278" s="694" t="s">
        <v>581</v>
      </c>
      <c r="E278" s="694" t="s">
        <v>242</v>
      </c>
      <c r="F278" s="691">
        <v>0.22500000000000001</v>
      </c>
      <c r="G278" s="711">
        <f>'[5]DAFTAR UPAH'!$G$13</f>
        <v>115000</v>
      </c>
      <c r="H278" s="712">
        <f>F278*G278</f>
        <v>25875</v>
      </c>
    </row>
    <row r="279" spans="2:8" hidden="1" x14ac:dyDescent="0.2">
      <c r="B279" s="690"/>
      <c r="C279" s="690" t="s">
        <v>93</v>
      </c>
      <c r="D279" s="694" t="s">
        <v>582</v>
      </c>
      <c r="E279" s="694" t="s">
        <v>242</v>
      </c>
      <c r="F279" s="691">
        <v>2.3E-2</v>
      </c>
      <c r="G279" s="711">
        <f>'[5]DAFTAR UPAH'!$G$12</f>
        <v>127500</v>
      </c>
      <c r="H279" s="712">
        <f>F279*G279</f>
        <v>2932.5</v>
      </c>
    </row>
    <row r="280" spans="2:8" hidden="1" x14ac:dyDescent="0.2">
      <c r="B280" s="690"/>
      <c r="C280" s="690" t="s">
        <v>19</v>
      </c>
      <c r="D280" s="694" t="s">
        <v>558</v>
      </c>
      <c r="E280" s="694" t="s">
        <v>242</v>
      </c>
      <c r="F280" s="691">
        <v>5.0000000000000001E-3</v>
      </c>
      <c r="G280" s="711">
        <f>'[5]DAFTAR UPAH'!$G$11</f>
        <v>115000</v>
      </c>
      <c r="H280" s="712">
        <f>F280*G280</f>
        <v>575</v>
      </c>
    </row>
    <row r="281" spans="2:8" hidden="1" x14ac:dyDescent="0.2">
      <c r="B281" s="690"/>
      <c r="C281" s="690"/>
      <c r="D281" s="690"/>
      <c r="E281" s="690"/>
      <c r="F281" s="1565" t="s">
        <v>830</v>
      </c>
      <c r="G281" s="1565"/>
      <c r="H281" s="721">
        <f>SUM(H276:H280)</f>
        <v>42342.5</v>
      </c>
    </row>
    <row r="282" spans="2:8" hidden="1" x14ac:dyDescent="0.2">
      <c r="B282" s="690" t="s">
        <v>1</v>
      </c>
      <c r="C282" s="690" t="s">
        <v>150</v>
      </c>
      <c r="D282" s="690"/>
      <c r="E282" s="690"/>
      <c r="F282" s="694"/>
      <c r="G282" s="711"/>
      <c r="H282" s="712"/>
    </row>
    <row r="283" spans="2:8" hidden="1" x14ac:dyDescent="0.2">
      <c r="B283" s="690"/>
      <c r="C283" s="690" t="s">
        <v>852</v>
      </c>
      <c r="D283" s="690"/>
      <c r="E283" s="697" t="s">
        <v>669</v>
      </c>
      <c r="F283" s="695">
        <v>1.2</v>
      </c>
      <c r="G283" s="722">
        <v>42500</v>
      </c>
      <c r="H283" s="712">
        <f>F283*G283</f>
        <v>51000</v>
      </c>
    </row>
    <row r="284" spans="2:8" hidden="1" x14ac:dyDescent="0.2">
      <c r="B284" s="690"/>
      <c r="C284" s="690" t="s">
        <v>853</v>
      </c>
      <c r="D284" s="690"/>
      <c r="E284" s="697" t="s">
        <v>12</v>
      </c>
      <c r="F284" s="695">
        <v>2.8</v>
      </c>
      <c r="G284" s="711">
        <f>+[5]H.SATUAN!D65</f>
        <v>10500</v>
      </c>
      <c r="H284" s="712">
        <f>F284*G284</f>
        <v>29399.999999999996</v>
      </c>
    </row>
    <row r="285" spans="2:8" hidden="1" x14ac:dyDescent="0.2">
      <c r="B285" s="690"/>
      <c r="C285" s="655" t="s">
        <v>826</v>
      </c>
      <c r="D285" s="690"/>
      <c r="E285" s="697" t="s">
        <v>308</v>
      </c>
      <c r="F285" s="695">
        <v>2</v>
      </c>
      <c r="G285" s="689">
        <v>4500</v>
      </c>
      <c r="H285" s="712">
        <f>F285*G285</f>
        <v>9000</v>
      </c>
    </row>
    <row r="286" spans="2:8" hidden="1" x14ac:dyDescent="0.2">
      <c r="B286" s="690"/>
      <c r="C286" s="690"/>
      <c r="D286" s="690"/>
      <c r="E286" s="690"/>
      <c r="F286" s="1565" t="s">
        <v>833</v>
      </c>
      <c r="G286" s="1565"/>
      <c r="H286" s="712">
        <f>SUM(H283:H285)</f>
        <v>89400</v>
      </c>
    </row>
    <row r="287" spans="2:8" hidden="1" x14ac:dyDescent="0.2">
      <c r="B287" s="690" t="s">
        <v>560</v>
      </c>
      <c r="C287" s="690" t="s">
        <v>834</v>
      </c>
      <c r="D287" s="690"/>
      <c r="E287" s="690"/>
      <c r="F287" s="694"/>
      <c r="G287" s="711"/>
      <c r="H287" s="712"/>
    </row>
    <row r="288" spans="2:8" hidden="1" x14ac:dyDescent="0.2">
      <c r="B288" s="690"/>
      <c r="C288" s="690"/>
      <c r="D288" s="690"/>
      <c r="E288" s="690"/>
      <c r="F288" s="694"/>
      <c r="G288" s="711"/>
      <c r="H288" s="712">
        <f>F288*G288</f>
        <v>0</v>
      </c>
    </row>
    <row r="289" spans="2:8" hidden="1" x14ac:dyDescent="0.2">
      <c r="B289" s="690"/>
      <c r="C289" s="690"/>
      <c r="D289" s="690"/>
      <c r="E289" s="690"/>
      <c r="F289" s="1565" t="s">
        <v>835</v>
      </c>
      <c r="G289" s="1565"/>
      <c r="H289" s="712">
        <f>SUM(H288:H288)</f>
        <v>0</v>
      </c>
    </row>
    <row r="290" spans="2:8" hidden="1" x14ac:dyDescent="0.2">
      <c r="B290" s="690"/>
      <c r="C290" s="690"/>
      <c r="D290" s="690"/>
      <c r="E290" s="690"/>
      <c r="F290" s="694"/>
      <c r="G290" s="711"/>
      <c r="H290" s="712"/>
    </row>
    <row r="291" spans="2:8" hidden="1" x14ac:dyDescent="0.2">
      <c r="B291" s="690" t="s">
        <v>564</v>
      </c>
      <c r="C291" s="1566" t="s">
        <v>565</v>
      </c>
      <c r="D291" s="1566"/>
      <c r="E291" s="1566"/>
      <c r="F291" s="1566"/>
      <c r="G291" s="1566"/>
      <c r="H291" s="712">
        <f>H281+H286+H289</f>
        <v>131742.5</v>
      </c>
    </row>
    <row r="292" spans="2:8" hidden="1" x14ac:dyDescent="0.2">
      <c r="B292" s="690" t="s">
        <v>566</v>
      </c>
      <c r="C292" s="1566" t="s">
        <v>785</v>
      </c>
      <c r="D292" s="1566"/>
      <c r="E292" s="1566"/>
      <c r="F292" s="1567">
        <f>F270</f>
        <v>0.15</v>
      </c>
      <c r="G292" s="1566"/>
      <c r="H292" s="712">
        <f>F292*H291</f>
        <v>19761.375</v>
      </c>
    </row>
    <row r="293" spans="2:8" hidden="1" x14ac:dyDescent="0.2">
      <c r="B293" s="690" t="s">
        <v>567</v>
      </c>
      <c r="C293" s="1566" t="s">
        <v>836</v>
      </c>
      <c r="D293" s="1566"/>
      <c r="E293" s="1566"/>
      <c r="F293" s="1566"/>
      <c r="G293" s="1566"/>
      <c r="H293" s="712">
        <f>H291+H292</f>
        <v>151503.875</v>
      </c>
    </row>
    <row r="294" spans="2:8" hidden="1" x14ac:dyDescent="0.2">
      <c r="B294" s="690"/>
      <c r="C294" s="690"/>
      <c r="D294" s="690"/>
      <c r="E294" s="690"/>
      <c r="F294" s="694"/>
      <c r="G294" s="711"/>
      <c r="H294" s="712"/>
    </row>
    <row r="295" spans="2:8" s="729" customFormat="1" ht="15" hidden="1" x14ac:dyDescent="0.25">
      <c r="B295" s="723" t="s">
        <v>770</v>
      </c>
      <c r="C295" s="724" t="s">
        <v>753</v>
      </c>
      <c r="D295" s="725"/>
      <c r="E295" s="726"/>
      <c r="F295" s="727"/>
      <c r="G295" s="728"/>
      <c r="H295" s="728"/>
    </row>
    <row r="296" spans="2:8" hidden="1" x14ac:dyDescent="0.2">
      <c r="B296" s="730" t="s">
        <v>556</v>
      </c>
      <c r="C296" s="731" t="s">
        <v>746</v>
      </c>
      <c r="D296" s="731"/>
      <c r="E296" s="732"/>
      <c r="F296" s="733"/>
      <c r="G296" s="734"/>
      <c r="H296" s="734"/>
    </row>
    <row r="297" spans="2:8" hidden="1" x14ac:dyDescent="0.2">
      <c r="B297" s="735"/>
      <c r="C297" s="731" t="s">
        <v>17</v>
      </c>
      <c r="D297" s="672"/>
      <c r="E297" s="736" t="s">
        <v>242</v>
      </c>
      <c r="F297" s="732">
        <v>1.65</v>
      </c>
      <c r="G297" s="737">
        <f>'UPah &amp; Bahan oke'!$H$9</f>
        <v>110000</v>
      </c>
      <c r="H297" s="737">
        <f>+F297*G297</f>
        <v>181500</v>
      </c>
    </row>
    <row r="298" spans="2:8" hidden="1" x14ac:dyDescent="0.2">
      <c r="B298" s="735"/>
      <c r="C298" s="731" t="s">
        <v>854</v>
      </c>
      <c r="D298" s="672"/>
      <c r="E298" s="736" t="s">
        <v>242</v>
      </c>
      <c r="F298" s="732">
        <v>0.27500000000000002</v>
      </c>
      <c r="G298" s="737">
        <f>'UPah &amp; Bahan oke'!$H$10</f>
        <v>153000</v>
      </c>
      <c r="H298" s="737">
        <f>+F298*G298</f>
        <v>42075</v>
      </c>
    </row>
    <row r="299" spans="2:8" hidden="1" x14ac:dyDescent="0.2">
      <c r="B299" s="735"/>
      <c r="C299" s="731" t="s">
        <v>18</v>
      </c>
      <c r="D299" s="672"/>
      <c r="E299" s="736" t="s">
        <v>242</v>
      </c>
      <c r="F299" s="732">
        <v>2.8000000000000001E-2</v>
      </c>
      <c r="G299" s="737">
        <f>'UPah &amp; Bahan oke'!$H$11</f>
        <v>170000</v>
      </c>
      <c r="H299" s="737">
        <f>+F299*G299</f>
        <v>4760</v>
      </c>
    </row>
    <row r="300" spans="2:8" hidden="1" x14ac:dyDescent="0.2">
      <c r="B300" s="735"/>
      <c r="C300" s="731" t="s">
        <v>19</v>
      </c>
      <c r="D300" s="672"/>
      <c r="E300" s="736" t="s">
        <v>242</v>
      </c>
      <c r="F300" s="732">
        <v>8.3000000000000004E-2</v>
      </c>
      <c r="G300" s="737">
        <f>'UPah &amp; Bahan oke'!$H$12</f>
        <v>150000</v>
      </c>
      <c r="H300" s="737">
        <f>+F300*G300</f>
        <v>12450</v>
      </c>
    </row>
    <row r="301" spans="2:8" ht="15" hidden="1" x14ac:dyDescent="0.2">
      <c r="B301" s="735"/>
      <c r="C301" s="738" t="s">
        <v>855</v>
      </c>
      <c r="D301" s="739"/>
      <c r="E301" s="731"/>
      <c r="F301" s="740" t="s">
        <v>830</v>
      </c>
      <c r="G301" s="741"/>
      <c r="H301" s="737">
        <f>SUM(H297:H300)</f>
        <v>240785</v>
      </c>
    </row>
    <row r="302" spans="2:8" ht="15" hidden="1" x14ac:dyDescent="0.2">
      <c r="B302" s="742" t="s">
        <v>1</v>
      </c>
      <c r="C302" s="731" t="s">
        <v>5</v>
      </c>
      <c r="D302" s="731"/>
      <c r="E302" s="732"/>
      <c r="F302" s="743"/>
      <c r="G302" s="737"/>
      <c r="H302" s="737"/>
    </row>
    <row r="303" spans="2:8" hidden="1" x14ac:dyDescent="0.2">
      <c r="B303" s="735"/>
      <c r="C303" s="731" t="s">
        <v>856</v>
      </c>
      <c r="D303" s="672"/>
      <c r="E303" s="743" t="s">
        <v>755</v>
      </c>
      <c r="F303" s="732">
        <f>3.956*50</f>
        <v>197.8</v>
      </c>
      <c r="G303" s="737">
        <f>[5]H.SATUAN!D36</f>
        <v>1250</v>
      </c>
      <c r="H303" s="737">
        <f>+F303*G303</f>
        <v>247250</v>
      </c>
    </row>
    <row r="304" spans="2:8" hidden="1" x14ac:dyDescent="0.2">
      <c r="B304" s="735"/>
      <c r="C304" s="731" t="s">
        <v>71</v>
      </c>
      <c r="D304" s="672"/>
      <c r="E304" s="733" t="s">
        <v>756</v>
      </c>
      <c r="F304" s="732">
        <v>0.55000000000000004</v>
      </c>
      <c r="G304" s="737">
        <f>[5]H.SATUAN!D30</f>
        <v>128571.42857142857</v>
      </c>
      <c r="H304" s="737">
        <f>+F304*G304</f>
        <v>70714.28571428571</v>
      </c>
    </row>
    <row r="305" spans="2:8" hidden="1" x14ac:dyDescent="0.2">
      <c r="B305" s="735"/>
      <c r="C305" s="731" t="s">
        <v>757</v>
      </c>
      <c r="D305" s="672"/>
      <c r="E305" s="733" t="s">
        <v>756</v>
      </c>
      <c r="F305" s="732">
        <v>0.93</v>
      </c>
      <c r="G305" s="737">
        <f>[5]H.SATUAN!D29</f>
        <v>84821.428571428565</v>
      </c>
      <c r="H305" s="737">
        <f>+F305*G305</f>
        <v>78883.928571428565</v>
      </c>
    </row>
    <row r="306" spans="2:8" hidden="1" x14ac:dyDescent="0.2">
      <c r="B306" s="735"/>
      <c r="C306" s="731"/>
      <c r="D306" s="672"/>
      <c r="E306" s="733"/>
      <c r="F306" s="744" t="s">
        <v>833</v>
      </c>
      <c r="G306" s="744"/>
      <c r="H306" s="737">
        <f>SUM(H303:H305)</f>
        <v>396848.21428571426</v>
      </c>
    </row>
    <row r="307" spans="2:8" hidden="1" x14ac:dyDescent="0.2">
      <c r="B307" s="745" t="s">
        <v>560</v>
      </c>
      <c r="C307" s="745" t="s">
        <v>834</v>
      </c>
      <c r="D307" s="672"/>
      <c r="E307" s="732"/>
      <c r="F307" s="736"/>
      <c r="G307" s="722"/>
      <c r="H307" s="746"/>
    </row>
    <row r="308" spans="2:8" hidden="1" x14ac:dyDescent="0.2">
      <c r="B308" s="745"/>
      <c r="C308" s="745"/>
      <c r="D308" s="672"/>
      <c r="E308" s="732"/>
      <c r="F308" s="736"/>
      <c r="G308" s="722"/>
      <c r="H308" s="746">
        <f>F308*G308</f>
        <v>0</v>
      </c>
    </row>
    <row r="309" spans="2:8" hidden="1" x14ac:dyDescent="0.2">
      <c r="B309" s="745"/>
      <c r="C309" s="745"/>
      <c r="D309" s="672"/>
      <c r="E309" s="732"/>
      <c r="F309" s="740" t="s">
        <v>835</v>
      </c>
      <c r="G309" s="740"/>
      <c r="H309" s="746">
        <f>SUM(H308:H308)</f>
        <v>0</v>
      </c>
    </row>
    <row r="310" spans="2:8" hidden="1" x14ac:dyDescent="0.2">
      <c r="B310" s="745"/>
      <c r="C310" s="745"/>
      <c r="D310" s="672"/>
      <c r="E310" s="732"/>
      <c r="F310" s="736"/>
      <c r="G310" s="736"/>
      <c r="H310" s="746"/>
    </row>
    <row r="311" spans="2:8" hidden="1" x14ac:dyDescent="0.2">
      <c r="B311" s="735" t="s">
        <v>564</v>
      </c>
      <c r="C311" s="1568" t="s">
        <v>565</v>
      </c>
      <c r="D311" s="1568"/>
      <c r="E311" s="1568"/>
      <c r="F311" s="1568"/>
      <c r="G311" s="1568"/>
      <c r="H311" s="737">
        <f>H301+H306+H309</f>
        <v>637633.21428571432</v>
      </c>
    </row>
    <row r="312" spans="2:8" hidden="1" x14ac:dyDescent="0.2">
      <c r="B312" s="735" t="s">
        <v>566</v>
      </c>
      <c r="C312" s="1568" t="s">
        <v>785</v>
      </c>
      <c r="D312" s="1568"/>
      <c r="E312" s="1568"/>
      <c r="F312" s="747">
        <f>I6</f>
        <v>0.15</v>
      </c>
      <c r="G312" s="730"/>
      <c r="H312" s="737">
        <f>H311*F312</f>
        <v>95644.982142857145</v>
      </c>
    </row>
    <row r="313" spans="2:8" ht="15" hidden="1" x14ac:dyDescent="0.2">
      <c r="B313" s="735" t="s">
        <v>567</v>
      </c>
      <c r="C313" s="1568" t="s">
        <v>836</v>
      </c>
      <c r="D313" s="1568"/>
      <c r="E313" s="1568"/>
      <c r="F313" s="1568"/>
      <c r="G313" s="1568"/>
      <c r="H313" s="748">
        <f>H311+H312</f>
        <v>733278.19642857148</v>
      </c>
    </row>
    <row r="314" spans="2:8" hidden="1" x14ac:dyDescent="0.2">
      <c r="B314" s="749"/>
      <c r="C314" s="672"/>
      <c r="D314" s="672"/>
      <c r="E314" s="672"/>
      <c r="F314" s="672"/>
      <c r="G314" s="750"/>
      <c r="H314" s="751"/>
    </row>
    <row r="315" spans="2:8" hidden="1" x14ac:dyDescent="0.2"/>
    <row r="316" spans="2:8" hidden="1" x14ac:dyDescent="0.2"/>
    <row r="317" spans="2:8" s="729" customFormat="1" ht="15" hidden="1" x14ac:dyDescent="0.25">
      <c r="B317" s="723" t="s">
        <v>770</v>
      </c>
      <c r="C317" s="724" t="s">
        <v>857</v>
      </c>
      <c r="D317" s="725"/>
      <c r="E317" s="726"/>
      <c r="F317" s="727"/>
      <c r="G317" s="728"/>
      <c r="H317" s="728"/>
    </row>
    <row r="318" spans="2:8" hidden="1" x14ac:dyDescent="0.2">
      <c r="B318" s="735" t="s">
        <v>556</v>
      </c>
      <c r="C318" s="731" t="s">
        <v>746</v>
      </c>
      <c r="D318" s="731"/>
      <c r="E318" s="732"/>
      <c r="F318" s="733"/>
      <c r="G318" s="737"/>
      <c r="H318" s="737"/>
    </row>
    <row r="319" spans="2:8" hidden="1" x14ac:dyDescent="0.2">
      <c r="B319" s="735"/>
      <c r="C319" s="731" t="s">
        <v>17</v>
      </c>
      <c r="D319" s="743"/>
      <c r="E319" s="736" t="s">
        <v>242</v>
      </c>
      <c r="F319" s="732">
        <v>0.24</v>
      </c>
      <c r="G319" s="737">
        <f>G297</f>
        <v>110000</v>
      </c>
      <c r="H319" s="737">
        <f>+F319*G319</f>
        <v>26400</v>
      </c>
    </row>
    <row r="320" spans="2:8" hidden="1" x14ac:dyDescent="0.2">
      <c r="B320" s="735"/>
      <c r="C320" s="731" t="s">
        <v>858</v>
      </c>
      <c r="D320" s="743"/>
      <c r="E320" s="736" t="s">
        <v>242</v>
      </c>
      <c r="F320" s="732">
        <v>0.3</v>
      </c>
      <c r="G320" s="737">
        <f>G298</f>
        <v>153000</v>
      </c>
      <c r="H320" s="737">
        <f>+F320*G320</f>
        <v>45900</v>
      </c>
    </row>
    <row r="321" spans="2:8" hidden="1" x14ac:dyDescent="0.2">
      <c r="B321" s="735"/>
      <c r="C321" s="731" t="s">
        <v>18</v>
      </c>
      <c r="D321" s="743"/>
      <c r="E321" s="736" t="s">
        <v>242</v>
      </c>
      <c r="F321" s="732">
        <v>1.2E-2</v>
      </c>
      <c r="G321" s="737">
        <f>G299</f>
        <v>170000</v>
      </c>
      <c r="H321" s="737">
        <f>+F321*G321</f>
        <v>2040</v>
      </c>
    </row>
    <row r="322" spans="2:8" hidden="1" x14ac:dyDescent="0.2">
      <c r="B322" s="735"/>
      <c r="C322" s="731" t="s">
        <v>19</v>
      </c>
      <c r="D322" s="743"/>
      <c r="E322" s="736" t="s">
        <v>242</v>
      </c>
      <c r="F322" s="732">
        <v>6.0000000000000001E-3</v>
      </c>
      <c r="G322" s="737">
        <f>G300</f>
        <v>150000</v>
      </c>
      <c r="H322" s="737">
        <f>+F322*G322</f>
        <v>900</v>
      </c>
    </row>
    <row r="323" spans="2:8" ht="15" hidden="1" x14ac:dyDescent="0.2">
      <c r="B323" s="735"/>
      <c r="C323" s="738"/>
      <c r="D323" s="739"/>
      <c r="E323" s="731"/>
      <c r="F323" s="740" t="s">
        <v>830</v>
      </c>
      <c r="G323" s="741"/>
      <c r="H323" s="737">
        <f>SUM(H319:H322)</f>
        <v>75240</v>
      </c>
    </row>
    <row r="324" spans="2:8" hidden="1" x14ac:dyDescent="0.2">
      <c r="B324" s="735" t="s">
        <v>1</v>
      </c>
      <c r="C324" s="731" t="s">
        <v>5</v>
      </c>
      <c r="D324" s="731"/>
      <c r="E324" s="732"/>
      <c r="F324" s="743"/>
      <c r="G324" s="752"/>
      <c r="H324" s="752"/>
    </row>
    <row r="325" spans="2:8" hidden="1" x14ac:dyDescent="0.2">
      <c r="B325" s="735"/>
      <c r="C325" s="731" t="s">
        <v>859</v>
      </c>
      <c r="E325" s="733" t="s">
        <v>309</v>
      </c>
      <c r="F325" s="753">
        <v>1</v>
      </c>
      <c r="G325" s="737">
        <v>300000</v>
      </c>
      <c r="H325" s="737">
        <f>+F325*G325</f>
        <v>300000</v>
      </c>
    </row>
    <row r="326" spans="2:8" hidden="1" x14ac:dyDescent="0.2">
      <c r="B326" s="735"/>
      <c r="C326" s="731" t="s">
        <v>860</v>
      </c>
      <c r="E326" s="733" t="s">
        <v>755</v>
      </c>
      <c r="F326" s="753">
        <v>0.17799999999999999</v>
      </c>
      <c r="G326" s="737">
        <f>[5]H.SATUAN!D129</f>
        <v>40000</v>
      </c>
      <c r="H326" s="737">
        <f>F326*G326</f>
        <v>7120</v>
      </c>
    </row>
    <row r="327" spans="2:8" hidden="1" x14ac:dyDescent="0.2">
      <c r="B327" s="735"/>
      <c r="C327" s="731" t="s">
        <v>861</v>
      </c>
      <c r="E327" s="733" t="s">
        <v>132</v>
      </c>
      <c r="F327" s="732">
        <v>1</v>
      </c>
      <c r="G327" s="737">
        <v>20000</v>
      </c>
      <c r="H327" s="737">
        <f>+F327*G327</f>
        <v>20000</v>
      </c>
    </row>
    <row r="328" spans="2:8" hidden="1" x14ac:dyDescent="0.2">
      <c r="B328" s="735"/>
      <c r="C328" s="731"/>
      <c r="D328" s="672"/>
      <c r="E328" s="732"/>
      <c r="F328" s="740" t="s">
        <v>833</v>
      </c>
      <c r="G328" s="740"/>
      <c r="H328" s="737">
        <f>SUM(H325:H327)</f>
        <v>327120</v>
      </c>
    </row>
    <row r="329" spans="2:8" hidden="1" x14ac:dyDescent="0.2">
      <c r="B329" s="730" t="s">
        <v>560</v>
      </c>
      <c r="C329" s="745" t="s">
        <v>834</v>
      </c>
      <c r="D329" s="672"/>
      <c r="E329" s="732"/>
      <c r="F329" s="736"/>
      <c r="G329" s="722"/>
      <c r="H329" s="746"/>
    </row>
    <row r="330" spans="2:8" hidden="1" x14ac:dyDescent="0.2">
      <c r="B330" s="730"/>
      <c r="C330" s="745"/>
      <c r="D330" s="672"/>
      <c r="E330" s="732"/>
      <c r="F330" s="736"/>
      <c r="G330" s="722"/>
      <c r="H330" s="746">
        <f>F330*G330</f>
        <v>0</v>
      </c>
    </row>
    <row r="331" spans="2:8" hidden="1" x14ac:dyDescent="0.2">
      <c r="B331" s="730"/>
      <c r="C331" s="745"/>
      <c r="D331" s="672"/>
      <c r="E331" s="732"/>
      <c r="F331" s="740" t="s">
        <v>835</v>
      </c>
      <c r="G331" s="740"/>
      <c r="H331" s="746">
        <f>SUM(H330:H330)</f>
        <v>0</v>
      </c>
    </row>
    <row r="332" spans="2:8" hidden="1" x14ac:dyDescent="0.2">
      <c r="B332" s="735" t="s">
        <v>564</v>
      </c>
      <c r="C332" s="1568" t="s">
        <v>565</v>
      </c>
      <c r="D332" s="1568"/>
      <c r="E332" s="1568"/>
      <c r="F332" s="1568"/>
      <c r="G332" s="1568"/>
      <c r="H332" s="746">
        <f>H323+H328+H331</f>
        <v>402360</v>
      </c>
    </row>
    <row r="333" spans="2:8" hidden="1" x14ac:dyDescent="0.2">
      <c r="B333" s="735" t="s">
        <v>566</v>
      </c>
      <c r="C333" s="1568" t="s">
        <v>785</v>
      </c>
      <c r="D333" s="1568"/>
      <c r="E333" s="1568"/>
      <c r="F333" s="747">
        <f>I6</f>
        <v>0.15</v>
      </c>
      <c r="G333" s="730"/>
      <c r="H333" s="737">
        <f>H332*F333</f>
        <v>60354</v>
      </c>
    </row>
    <row r="334" spans="2:8" hidden="1" x14ac:dyDescent="0.2">
      <c r="B334" s="735" t="s">
        <v>567</v>
      </c>
      <c r="C334" s="1568" t="s">
        <v>836</v>
      </c>
      <c r="D334" s="1568"/>
      <c r="E334" s="1568"/>
      <c r="F334" s="1568"/>
      <c r="G334" s="1568"/>
      <c r="H334" s="737">
        <f>H332+H333</f>
        <v>462714</v>
      </c>
    </row>
    <row r="335" spans="2:8" hidden="1" x14ac:dyDescent="0.2">
      <c r="B335" s="672"/>
      <c r="C335" s="672"/>
      <c r="D335" s="672"/>
      <c r="E335" s="672"/>
      <c r="F335" s="672"/>
      <c r="G335" s="684"/>
      <c r="H335" s="754"/>
    </row>
    <row r="336" spans="2:8" hidden="1" x14ac:dyDescent="0.2"/>
    <row r="337" spans="2:8" s="765" customFormat="1" ht="15" x14ac:dyDescent="0.25">
      <c r="B337" s="929" t="s">
        <v>770</v>
      </c>
      <c r="C337" s="930" t="s">
        <v>862</v>
      </c>
      <c r="D337" s="930"/>
      <c r="E337" s="930"/>
      <c r="F337" s="930"/>
      <c r="G337" s="931"/>
      <c r="H337" s="932"/>
    </row>
    <row r="338" spans="2:8" s="765" customFormat="1" x14ac:dyDescent="0.2">
      <c r="B338" s="930" t="s">
        <v>556</v>
      </c>
      <c r="C338" s="930" t="s">
        <v>746</v>
      </c>
      <c r="D338" s="930"/>
      <c r="E338" s="930"/>
      <c r="F338" s="930"/>
      <c r="G338" s="933"/>
      <c r="H338" s="932"/>
    </row>
    <row r="339" spans="2:8" s="765" customFormat="1" x14ac:dyDescent="0.2">
      <c r="B339" s="930"/>
      <c r="C339" s="930" t="s">
        <v>17</v>
      </c>
      <c r="D339" s="930"/>
      <c r="E339" s="934" t="s">
        <v>242</v>
      </c>
      <c r="F339" s="930">
        <v>0.11</v>
      </c>
      <c r="G339" s="933">
        <f>G319</f>
        <v>110000</v>
      </c>
      <c r="H339" s="932">
        <f>F339*G339</f>
        <v>12100</v>
      </c>
    </row>
    <row r="340" spans="2:8" s="765" customFormat="1" x14ac:dyDescent="0.2">
      <c r="B340" s="930"/>
      <c r="C340" s="930" t="s">
        <v>863</v>
      </c>
      <c r="D340" s="930"/>
      <c r="E340" s="934" t="s">
        <v>242</v>
      </c>
      <c r="F340" s="930">
        <v>0.11</v>
      </c>
      <c r="G340" s="933">
        <f>G320</f>
        <v>153000</v>
      </c>
      <c r="H340" s="932">
        <f t="shared" ref="H340:H347" si="1">F340*G340</f>
        <v>16830</v>
      </c>
    </row>
    <row r="341" spans="2:8" s="765" customFormat="1" x14ac:dyDescent="0.2">
      <c r="B341" s="930"/>
      <c r="C341" s="930" t="s">
        <v>18</v>
      </c>
      <c r="D341" s="930"/>
      <c r="E341" s="934" t="s">
        <v>242</v>
      </c>
      <c r="F341" s="930">
        <v>1.0999999999999999E-2</v>
      </c>
      <c r="G341" s="933">
        <f>G321</f>
        <v>170000</v>
      </c>
      <c r="H341" s="932">
        <f t="shared" si="1"/>
        <v>1870</v>
      </c>
    </row>
    <row r="342" spans="2:8" s="765" customFormat="1" x14ac:dyDescent="0.2">
      <c r="B342" s="930"/>
      <c r="C342" s="930" t="s">
        <v>19</v>
      </c>
      <c r="D342" s="930"/>
      <c r="E342" s="934" t="s">
        <v>242</v>
      </c>
      <c r="F342" s="930">
        <v>1.0999999999999999E-2</v>
      </c>
      <c r="G342" s="933">
        <f>G322</f>
        <v>150000</v>
      </c>
      <c r="H342" s="932">
        <f t="shared" si="1"/>
        <v>1650</v>
      </c>
    </row>
    <row r="343" spans="2:8" s="765" customFormat="1" x14ac:dyDescent="0.2">
      <c r="B343" s="930"/>
      <c r="C343" s="930"/>
      <c r="D343" s="930"/>
      <c r="E343" s="934"/>
      <c r="F343" s="935" t="s">
        <v>830</v>
      </c>
      <c r="G343" s="936"/>
      <c r="H343" s="932">
        <f>SUM(H339:H342)</f>
        <v>32450</v>
      </c>
    </row>
    <row r="344" spans="2:8" s="765" customFormat="1" x14ac:dyDescent="0.2">
      <c r="B344" s="930" t="s">
        <v>1</v>
      </c>
      <c r="C344" s="930" t="s">
        <v>5</v>
      </c>
      <c r="D344" s="930"/>
      <c r="E344" s="930"/>
      <c r="F344" s="930"/>
      <c r="G344" s="931"/>
      <c r="H344" s="932"/>
    </row>
    <row r="345" spans="2:8" s="765" customFormat="1" x14ac:dyDescent="0.2">
      <c r="B345" s="930"/>
      <c r="C345" s="930" t="s">
        <v>864</v>
      </c>
      <c r="D345" s="930"/>
      <c r="E345" s="937" t="s">
        <v>305</v>
      </c>
      <c r="F345" s="930">
        <v>10</v>
      </c>
      <c r="G345" s="933">
        <f>'UPah &amp; Bahan oke'!H123</f>
        <v>17600</v>
      </c>
      <c r="H345" s="932">
        <f t="shared" si="1"/>
        <v>176000</v>
      </c>
    </row>
    <row r="346" spans="2:8" s="765" customFormat="1" x14ac:dyDescent="0.2">
      <c r="B346" s="930"/>
      <c r="C346" s="930" t="s">
        <v>865</v>
      </c>
      <c r="D346" s="930"/>
      <c r="E346" s="937" t="s">
        <v>305</v>
      </c>
      <c r="F346" s="930">
        <v>10</v>
      </c>
      <c r="G346" s="933">
        <f>'UPah &amp; Bahan oke'!H124</f>
        <v>1500</v>
      </c>
      <c r="H346" s="932">
        <f t="shared" si="1"/>
        <v>15000</v>
      </c>
    </row>
    <row r="347" spans="2:8" s="765" customFormat="1" x14ac:dyDescent="0.2">
      <c r="B347" s="930"/>
      <c r="C347" s="930" t="s">
        <v>866</v>
      </c>
      <c r="D347" s="930" t="s">
        <v>306</v>
      </c>
      <c r="E347" s="930"/>
      <c r="F347" s="930">
        <v>0.01</v>
      </c>
      <c r="G347" s="933">
        <f>'UPah &amp; Bahan oke'!H125</f>
        <v>65000</v>
      </c>
      <c r="H347" s="932">
        <f t="shared" si="1"/>
        <v>650</v>
      </c>
    </row>
    <row r="348" spans="2:8" s="765" customFormat="1" x14ac:dyDescent="0.2">
      <c r="B348" s="930"/>
      <c r="C348" s="930"/>
      <c r="D348" s="930"/>
      <c r="E348" s="930"/>
      <c r="F348" s="935" t="s">
        <v>833</v>
      </c>
      <c r="G348" s="935"/>
      <c r="H348" s="938">
        <f>SUM(H345:H347)</f>
        <v>191650</v>
      </c>
    </row>
    <row r="349" spans="2:8" s="765" customFormat="1" x14ac:dyDescent="0.2">
      <c r="B349" s="939" t="s">
        <v>560</v>
      </c>
      <c r="C349" s="940" t="s">
        <v>834</v>
      </c>
      <c r="D349" s="930"/>
      <c r="E349" s="941"/>
      <c r="F349" s="934"/>
      <c r="G349" s="942"/>
      <c r="H349" s="943"/>
    </row>
    <row r="350" spans="2:8" s="765" customFormat="1" x14ac:dyDescent="0.2">
      <c r="B350" s="939"/>
      <c r="C350" s="940"/>
      <c r="D350" s="930"/>
      <c r="E350" s="941"/>
      <c r="F350" s="934"/>
      <c r="G350" s="942"/>
      <c r="H350" s="943">
        <f>F350*G350</f>
        <v>0</v>
      </c>
    </row>
    <row r="351" spans="2:8" s="765" customFormat="1" x14ac:dyDescent="0.2">
      <c r="B351" s="939"/>
      <c r="C351" s="940"/>
      <c r="D351" s="930"/>
      <c r="E351" s="941"/>
      <c r="F351" s="935" t="s">
        <v>835</v>
      </c>
      <c r="G351" s="935"/>
      <c r="H351" s="943">
        <f>SUM(H350:H350)</f>
        <v>0</v>
      </c>
    </row>
    <row r="352" spans="2:8" s="765" customFormat="1" x14ac:dyDescent="0.2">
      <c r="B352" s="944" t="s">
        <v>564</v>
      </c>
      <c r="C352" s="1562" t="s">
        <v>565</v>
      </c>
      <c r="D352" s="1562"/>
      <c r="E352" s="1562"/>
      <c r="F352" s="1562"/>
      <c r="G352" s="1562"/>
      <c r="H352" s="943">
        <f>H343+H348+H351</f>
        <v>224100</v>
      </c>
    </row>
    <row r="353" spans="2:8" s="765" customFormat="1" x14ac:dyDescent="0.2">
      <c r="B353" s="944" t="s">
        <v>566</v>
      </c>
      <c r="C353" s="1562" t="s">
        <v>785</v>
      </c>
      <c r="D353" s="1562"/>
      <c r="E353" s="1562"/>
      <c r="F353" s="945">
        <f>$I$6</f>
        <v>0.15</v>
      </c>
      <c r="G353" s="939"/>
      <c r="H353" s="938">
        <f>H352*F353</f>
        <v>33615</v>
      </c>
    </row>
    <row r="354" spans="2:8" s="765" customFormat="1" x14ac:dyDescent="0.2">
      <c r="B354" s="944" t="s">
        <v>567</v>
      </c>
      <c r="C354" s="1562" t="s">
        <v>836</v>
      </c>
      <c r="D354" s="1562"/>
      <c r="E354" s="1562"/>
      <c r="F354" s="1562"/>
      <c r="G354" s="1562"/>
      <c r="H354" s="938">
        <f>H352+H353</f>
        <v>257715</v>
      </c>
    </row>
    <row r="355" spans="2:8" hidden="1" x14ac:dyDescent="0.2">
      <c r="B355" s="930"/>
      <c r="C355" s="930"/>
      <c r="D355" s="930"/>
      <c r="E355" s="930"/>
      <c r="F355" s="930"/>
      <c r="G355" s="933"/>
      <c r="H355" s="932"/>
    </row>
    <row r="356" spans="2:8" hidden="1" x14ac:dyDescent="0.2">
      <c r="B356" s="930"/>
      <c r="C356" s="930"/>
      <c r="D356" s="930"/>
      <c r="E356" s="930"/>
      <c r="F356" s="930"/>
      <c r="G356" s="933"/>
      <c r="H356" s="932"/>
    </row>
    <row r="357" spans="2:8" hidden="1" x14ac:dyDescent="0.2">
      <c r="B357" s="930"/>
      <c r="C357" s="930"/>
      <c r="D357" s="930"/>
      <c r="E357" s="930"/>
      <c r="F357" s="930"/>
      <c r="G357" s="933"/>
      <c r="H357" s="932"/>
    </row>
    <row r="358" spans="2:8" hidden="1" x14ac:dyDescent="0.2">
      <c r="B358" s="930"/>
      <c r="C358" s="930"/>
      <c r="D358" s="930"/>
      <c r="E358" s="930"/>
      <c r="F358" s="930"/>
      <c r="G358" s="933"/>
      <c r="H358" s="932"/>
    </row>
    <row r="359" spans="2:8" s="729" customFormat="1" ht="15" hidden="1" x14ac:dyDescent="0.25">
      <c r="B359" s="929" t="s">
        <v>770</v>
      </c>
      <c r="C359" s="930" t="s">
        <v>867</v>
      </c>
      <c r="D359" s="930"/>
      <c r="E359" s="930"/>
      <c r="F359" s="930"/>
      <c r="G359" s="933"/>
      <c r="H359" s="932"/>
    </row>
    <row r="360" spans="2:8" hidden="1" x14ac:dyDescent="0.2">
      <c r="B360" s="930" t="s">
        <v>556</v>
      </c>
      <c r="C360" s="930" t="s">
        <v>746</v>
      </c>
      <c r="D360" s="930"/>
      <c r="E360" s="930"/>
      <c r="F360" s="930"/>
      <c r="G360" s="933"/>
      <c r="H360" s="932"/>
    </row>
    <row r="361" spans="2:8" hidden="1" x14ac:dyDescent="0.2">
      <c r="B361" s="930"/>
      <c r="C361" s="930" t="s">
        <v>17</v>
      </c>
      <c r="D361" s="930"/>
      <c r="E361" s="934" t="s">
        <v>242</v>
      </c>
      <c r="F361" s="930">
        <v>0.11</v>
      </c>
      <c r="G361" s="933">
        <f>G339</f>
        <v>110000</v>
      </c>
      <c r="H361" s="932">
        <f>F361*G361</f>
        <v>12100</v>
      </c>
    </row>
    <row r="362" spans="2:8" hidden="1" x14ac:dyDescent="0.2">
      <c r="B362" s="930"/>
      <c r="C362" s="930" t="s">
        <v>51</v>
      </c>
      <c r="D362" s="930"/>
      <c r="E362" s="934" t="s">
        <v>242</v>
      </c>
      <c r="F362" s="930">
        <v>0.11</v>
      </c>
      <c r="G362" s="933">
        <f>G340</f>
        <v>153000</v>
      </c>
      <c r="H362" s="932">
        <f>F362*G362</f>
        <v>16830</v>
      </c>
    </row>
    <row r="363" spans="2:8" hidden="1" x14ac:dyDescent="0.2">
      <c r="B363" s="930"/>
      <c r="C363" s="930" t="s">
        <v>18</v>
      </c>
      <c r="D363" s="930"/>
      <c r="E363" s="934" t="s">
        <v>242</v>
      </c>
      <c r="F363" s="930">
        <v>1.0999999999999999E-2</v>
      </c>
      <c r="G363" s="933">
        <f>G341</f>
        <v>170000</v>
      </c>
      <c r="H363" s="932">
        <f>F363*G363</f>
        <v>1870</v>
      </c>
    </row>
    <row r="364" spans="2:8" hidden="1" x14ac:dyDescent="0.2">
      <c r="B364" s="930"/>
      <c r="C364" s="930" t="s">
        <v>19</v>
      </c>
      <c r="D364" s="930"/>
      <c r="E364" s="934" t="s">
        <v>242</v>
      </c>
      <c r="F364" s="930">
        <v>1.0999999999999999E-2</v>
      </c>
      <c r="G364" s="933">
        <f>G342</f>
        <v>150000</v>
      </c>
      <c r="H364" s="932">
        <f>F364*G364</f>
        <v>1650</v>
      </c>
    </row>
    <row r="365" spans="2:8" hidden="1" x14ac:dyDescent="0.2">
      <c r="B365" s="930"/>
      <c r="C365" s="930"/>
      <c r="D365" s="930"/>
      <c r="E365" s="930"/>
      <c r="F365" s="935" t="s">
        <v>830</v>
      </c>
      <c r="G365" s="935"/>
      <c r="H365" s="938">
        <f>SUM(H361:H364)</f>
        <v>32450</v>
      </c>
    </row>
    <row r="366" spans="2:8" hidden="1" x14ac:dyDescent="0.2">
      <c r="B366" s="930" t="s">
        <v>1</v>
      </c>
      <c r="C366" s="930" t="s">
        <v>5</v>
      </c>
      <c r="D366" s="930"/>
      <c r="E366" s="930"/>
      <c r="F366" s="930"/>
      <c r="G366" s="933"/>
      <c r="H366" s="932"/>
    </row>
    <row r="367" spans="2:8" hidden="1" x14ac:dyDescent="0.2">
      <c r="B367" s="930"/>
      <c r="C367" s="930" t="s">
        <v>868</v>
      </c>
      <c r="D367" s="930"/>
      <c r="E367" s="937" t="s">
        <v>308</v>
      </c>
      <c r="F367" s="930">
        <v>1</v>
      </c>
      <c r="G367" s="933">
        <v>1000000</v>
      </c>
      <c r="H367" s="932">
        <f>F367*G367</f>
        <v>1000000</v>
      </c>
    </row>
    <row r="368" spans="2:8" hidden="1" x14ac:dyDescent="0.2">
      <c r="B368" s="930"/>
      <c r="C368" s="930" t="s">
        <v>869</v>
      </c>
      <c r="D368" s="930"/>
      <c r="E368" s="937" t="s">
        <v>870</v>
      </c>
      <c r="F368" s="930">
        <v>1</v>
      </c>
      <c r="G368" s="933">
        <v>100000</v>
      </c>
      <c r="H368" s="932">
        <f>F368*G368</f>
        <v>100000</v>
      </c>
    </row>
    <row r="369" spans="2:8" hidden="1" x14ac:dyDescent="0.2">
      <c r="B369" s="930"/>
      <c r="C369" s="930"/>
      <c r="D369" s="930"/>
      <c r="E369" s="937"/>
      <c r="F369" s="935" t="s">
        <v>833</v>
      </c>
      <c r="G369" s="936"/>
      <c r="H369" s="938">
        <f>SUM(H367:H368)</f>
        <v>1100000</v>
      </c>
    </row>
    <row r="370" spans="2:8" hidden="1" x14ac:dyDescent="0.2">
      <c r="B370" s="939" t="s">
        <v>560</v>
      </c>
      <c r="C370" s="940" t="s">
        <v>834</v>
      </c>
      <c r="D370" s="930"/>
      <c r="E370" s="941"/>
      <c r="F370" s="934"/>
      <c r="G370" s="942"/>
      <c r="H370" s="943"/>
    </row>
    <row r="371" spans="2:8" hidden="1" x14ac:dyDescent="0.2">
      <c r="B371" s="939"/>
      <c r="C371" s="940"/>
      <c r="D371" s="930"/>
      <c r="E371" s="941"/>
      <c r="F371" s="934"/>
      <c r="G371" s="942"/>
      <c r="H371" s="943">
        <f>F371*G371</f>
        <v>0</v>
      </c>
    </row>
    <row r="372" spans="2:8" hidden="1" x14ac:dyDescent="0.2">
      <c r="B372" s="939"/>
      <c r="C372" s="940"/>
      <c r="D372" s="930"/>
      <c r="E372" s="941"/>
      <c r="F372" s="935" t="s">
        <v>835</v>
      </c>
      <c r="G372" s="935"/>
      <c r="H372" s="943">
        <f>SUM(H371:H371)</f>
        <v>0</v>
      </c>
    </row>
    <row r="373" spans="2:8" hidden="1" x14ac:dyDescent="0.2">
      <c r="B373" s="944" t="s">
        <v>564</v>
      </c>
      <c r="C373" s="1562" t="s">
        <v>565</v>
      </c>
      <c r="D373" s="1562"/>
      <c r="E373" s="1562"/>
      <c r="F373" s="1562"/>
      <c r="G373" s="1562"/>
      <c r="H373" s="943">
        <f>H364+H369+H372</f>
        <v>1101650</v>
      </c>
    </row>
    <row r="374" spans="2:8" hidden="1" x14ac:dyDescent="0.2">
      <c r="B374" s="944" t="s">
        <v>566</v>
      </c>
      <c r="C374" s="1562" t="s">
        <v>785</v>
      </c>
      <c r="D374" s="1562"/>
      <c r="E374" s="1562"/>
      <c r="F374" s="945">
        <f>$I$6</f>
        <v>0.15</v>
      </c>
      <c r="G374" s="939"/>
      <c r="H374" s="938">
        <f>H373*F374</f>
        <v>165247.5</v>
      </c>
    </row>
    <row r="375" spans="2:8" hidden="1" x14ac:dyDescent="0.2">
      <c r="B375" s="944" t="s">
        <v>567</v>
      </c>
      <c r="C375" s="1562" t="s">
        <v>836</v>
      </c>
      <c r="D375" s="1562"/>
      <c r="E375" s="1562"/>
      <c r="F375" s="1562"/>
      <c r="G375" s="1562"/>
      <c r="H375" s="938">
        <f>H373+H374</f>
        <v>1266897.5</v>
      </c>
    </row>
    <row r="376" spans="2:8" hidden="1" x14ac:dyDescent="0.2">
      <c r="B376" s="930"/>
      <c r="C376" s="930"/>
      <c r="D376" s="930"/>
      <c r="E376" s="930"/>
      <c r="F376" s="930"/>
      <c r="G376" s="933"/>
      <c r="H376" s="932"/>
    </row>
    <row r="377" spans="2:8" hidden="1" x14ac:dyDescent="0.2">
      <c r="B377" s="930"/>
      <c r="C377" s="930"/>
      <c r="D377" s="930"/>
      <c r="E377" s="930"/>
      <c r="F377" s="930"/>
      <c r="G377" s="933"/>
      <c r="H377" s="932"/>
    </row>
    <row r="378" spans="2:8" hidden="1" x14ac:dyDescent="0.2">
      <c r="B378" s="930"/>
      <c r="C378" s="930"/>
      <c r="D378" s="930"/>
      <c r="E378" s="930"/>
      <c r="F378" s="930"/>
      <c r="G378" s="933"/>
      <c r="H378" s="932"/>
    </row>
    <row r="379" spans="2:8" hidden="1" x14ac:dyDescent="0.2">
      <c r="B379" s="930"/>
      <c r="C379" s="930"/>
      <c r="D379" s="930"/>
      <c r="E379" s="930"/>
      <c r="F379" s="930"/>
      <c r="G379" s="933"/>
      <c r="H379" s="932"/>
    </row>
    <row r="380" spans="2:8" s="765" customFormat="1" ht="15" x14ac:dyDescent="0.25">
      <c r="B380" s="929" t="s">
        <v>770</v>
      </c>
      <c r="C380" s="930" t="s">
        <v>871</v>
      </c>
      <c r="D380" s="930"/>
      <c r="E380" s="930"/>
      <c r="F380" s="930"/>
      <c r="G380" s="933"/>
      <c r="H380" s="932"/>
    </row>
    <row r="381" spans="2:8" s="765" customFormat="1" x14ac:dyDescent="0.2">
      <c r="B381" s="930" t="s">
        <v>556</v>
      </c>
      <c r="C381" s="930" t="s">
        <v>746</v>
      </c>
      <c r="D381" s="930"/>
      <c r="E381" s="930"/>
      <c r="F381" s="930"/>
      <c r="G381" s="933"/>
      <c r="H381" s="932"/>
    </row>
    <row r="382" spans="2:8" s="765" customFormat="1" x14ac:dyDescent="0.2">
      <c r="B382" s="930"/>
      <c r="C382" s="930" t="s">
        <v>17</v>
      </c>
      <c r="D382" s="930"/>
      <c r="E382" s="934" t="s">
        <v>242</v>
      </c>
      <c r="F382" s="930">
        <v>5.5E-2</v>
      </c>
      <c r="G382" s="933">
        <f>G361</f>
        <v>110000</v>
      </c>
      <c r="H382" s="932">
        <f>F382*G382</f>
        <v>6050</v>
      </c>
    </row>
    <row r="383" spans="2:8" s="765" customFormat="1" x14ac:dyDescent="0.2">
      <c r="B383" s="930"/>
      <c r="C383" s="930" t="s">
        <v>51</v>
      </c>
      <c r="D383" s="930"/>
      <c r="E383" s="934" t="s">
        <v>242</v>
      </c>
      <c r="F383" s="930">
        <v>5.5E-2</v>
      </c>
      <c r="G383" s="933">
        <f>G362</f>
        <v>153000</v>
      </c>
      <c r="H383" s="932">
        <f>F383*G383</f>
        <v>8415</v>
      </c>
    </row>
    <row r="384" spans="2:8" s="765" customFormat="1" x14ac:dyDescent="0.2">
      <c r="B384" s="930"/>
      <c r="C384" s="930" t="s">
        <v>18</v>
      </c>
      <c r="D384" s="930"/>
      <c r="E384" s="934" t="s">
        <v>242</v>
      </c>
      <c r="F384" s="930">
        <v>5.4999999999999997E-3</v>
      </c>
      <c r="G384" s="933">
        <f>G363</f>
        <v>170000</v>
      </c>
      <c r="H384" s="932">
        <f>F384*G384</f>
        <v>935</v>
      </c>
    </row>
    <row r="385" spans="2:8" s="765" customFormat="1" x14ac:dyDescent="0.2">
      <c r="B385" s="930"/>
      <c r="C385" s="930" t="s">
        <v>19</v>
      </c>
      <c r="D385" s="930"/>
      <c r="E385" s="934" t="s">
        <v>242</v>
      </c>
      <c r="F385" s="930">
        <v>5.4999999999999997E-3</v>
      </c>
      <c r="G385" s="933">
        <f>G364</f>
        <v>150000</v>
      </c>
      <c r="H385" s="932">
        <f>F385*G385</f>
        <v>825</v>
      </c>
    </row>
    <row r="386" spans="2:8" s="765" customFormat="1" x14ac:dyDescent="0.2">
      <c r="B386" s="930"/>
      <c r="C386" s="930"/>
      <c r="D386" s="930"/>
      <c r="E386" s="930"/>
      <c r="F386" s="935" t="s">
        <v>830</v>
      </c>
      <c r="G386" s="935"/>
      <c r="H386" s="938">
        <f>SUM(H382:H385)</f>
        <v>16225</v>
      </c>
    </row>
    <row r="387" spans="2:8" s="765" customFormat="1" x14ac:dyDescent="0.2">
      <c r="B387" s="930" t="s">
        <v>1</v>
      </c>
      <c r="C387" s="930" t="s">
        <v>5</v>
      </c>
      <c r="D387" s="930"/>
      <c r="E387" s="930"/>
      <c r="F387" s="930"/>
      <c r="G387" s="933"/>
      <c r="H387" s="932"/>
    </row>
    <row r="388" spans="2:8" s="765" customFormat="1" x14ac:dyDescent="0.2">
      <c r="B388" s="930"/>
      <c r="C388" s="930" t="s">
        <v>872</v>
      </c>
      <c r="D388" s="930"/>
      <c r="E388" s="937" t="s">
        <v>308</v>
      </c>
      <c r="F388" s="930">
        <v>1</v>
      </c>
      <c r="G388" s="933">
        <f>'UPah &amp; Bahan oke'!H106</f>
        <v>25000</v>
      </c>
      <c r="H388" s="932">
        <f>F388*G388</f>
        <v>25000</v>
      </c>
    </row>
    <row r="389" spans="2:8" s="765" customFormat="1" x14ac:dyDescent="0.2">
      <c r="B389" s="930"/>
      <c r="C389" s="930" t="s">
        <v>869</v>
      </c>
      <c r="D389" s="930"/>
      <c r="E389" s="937" t="s">
        <v>870</v>
      </c>
      <c r="F389" s="930">
        <v>2.5000000000000001E-2</v>
      </c>
      <c r="G389" s="933">
        <f>H388</f>
        <v>25000</v>
      </c>
      <c r="H389" s="932">
        <f>F389*G389</f>
        <v>625</v>
      </c>
    </row>
    <row r="390" spans="2:8" s="765" customFormat="1" x14ac:dyDescent="0.2">
      <c r="B390" s="930"/>
      <c r="C390" s="930"/>
      <c r="D390" s="930"/>
      <c r="E390" s="937"/>
      <c r="F390" s="935" t="s">
        <v>833</v>
      </c>
      <c r="G390" s="936"/>
      <c r="H390" s="938">
        <f>SUM(H388:H389)</f>
        <v>25625</v>
      </c>
    </row>
    <row r="391" spans="2:8" s="765" customFormat="1" x14ac:dyDescent="0.2">
      <c r="B391" s="939" t="s">
        <v>560</v>
      </c>
      <c r="C391" s="940" t="s">
        <v>834</v>
      </c>
      <c r="D391" s="930"/>
      <c r="E391" s="941"/>
      <c r="F391" s="934"/>
      <c r="G391" s="942"/>
      <c r="H391" s="943"/>
    </row>
    <row r="392" spans="2:8" s="765" customFormat="1" x14ac:dyDescent="0.2">
      <c r="B392" s="939"/>
      <c r="C392" s="940"/>
      <c r="D392" s="930"/>
      <c r="E392" s="941"/>
      <c r="F392" s="934"/>
      <c r="G392" s="942"/>
      <c r="H392" s="943">
        <f>F392*G392</f>
        <v>0</v>
      </c>
    </row>
    <row r="393" spans="2:8" s="765" customFormat="1" x14ac:dyDescent="0.2">
      <c r="B393" s="939"/>
      <c r="C393" s="940"/>
      <c r="D393" s="930"/>
      <c r="E393" s="941"/>
      <c r="F393" s="935" t="s">
        <v>835</v>
      </c>
      <c r="G393" s="935"/>
      <c r="H393" s="943">
        <f>SUM(H392:H392)</f>
        <v>0</v>
      </c>
    </row>
    <row r="394" spans="2:8" s="765" customFormat="1" x14ac:dyDescent="0.2">
      <c r="B394" s="944" t="s">
        <v>564</v>
      </c>
      <c r="C394" s="1562" t="s">
        <v>565</v>
      </c>
      <c r="D394" s="1562"/>
      <c r="E394" s="1562"/>
      <c r="F394" s="1562"/>
      <c r="G394" s="1562"/>
      <c r="H394" s="943">
        <f>H385+H390+H393</f>
        <v>26450</v>
      </c>
    </row>
    <row r="395" spans="2:8" s="765" customFormat="1" x14ac:dyDescent="0.2">
      <c r="B395" s="944" t="s">
        <v>566</v>
      </c>
      <c r="C395" s="1562" t="s">
        <v>785</v>
      </c>
      <c r="D395" s="1562"/>
      <c r="E395" s="1562"/>
      <c r="F395" s="945">
        <f>$I$6</f>
        <v>0.15</v>
      </c>
      <c r="G395" s="939"/>
      <c r="H395" s="938">
        <f>H394*F395</f>
        <v>3967.5</v>
      </c>
    </row>
    <row r="396" spans="2:8" s="765" customFormat="1" x14ac:dyDescent="0.2">
      <c r="B396" s="944" t="s">
        <v>567</v>
      </c>
      <c r="C396" s="1562" t="s">
        <v>836</v>
      </c>
      <c r="D396" s="1562"/>
      <c r="E396" s="1562"/>
      <c r="F396" s="1562"/>
      <c r="G396" s="1562"/>
      <c r="H396" s="938">
        <f>H394+H395</f>
        <v>30417.5</v>
      </c>
    </row>
    <row r="397" spans="2:8" s="765" customFormat="1" x14ac:dyDescent="0.2">
      <c r="B397" s="930"/>
      <c r="C397" s="930"/>
      <c r="D397" s="930"/>
      <c r="E397" s="930"/>
      <c r="F397" s="930"/>
      <c r="G397" s="933"/>
      <c r="H397" s="932"/>
    </row>
    <row r="398" spans="2:8" s="765" customFormat="1" x14ac:dyDescent="0.2">
      <c r="B398" s="930"/>
      <c r="C398" s="930"/>
      <c r="D398" s="930"/>
      <c r="E398" s="930"/>
      <c r="F398" s="930"/>
      <c r="G398" s="933"/>
      <c r="H398" s="932"/>
    </row>
    <row r="399" spans="2:8" s="765" customFormat="1" x14ac:dyDescent="0.2">
      <c r="B399" s="930"/>
      <c r="C399" s="930"/>
      <c r="D399" s="930"/>
      <c r="E399" s="930"/>
      <c r="F399" s="930"/>
      <c r="G399" s="933"/>
      <c r="H399" s="932"/>
    </row>
    <row r="400" spans="2:8" s="765" customFormat="1" x14ac:dyDescent="0.2">
      <c r="B400" s="930"/>
      <c r="C400" s="930"/>
      <c r="D400" s="930"/>
      <c r="E400" s="930"/>
      <c r="F400" s="930"/>
      <c r="G400" s="933"/>
      <c r="H400" s="932"/>
    </row>
    <row r="401" spans="2:8" s="765" customFormat="1" ht="15" x14ac:dyDescent="0.25">
      <c r="B401" s="929" t="s">
        <v>770</v>
      </c>
      <c r="C401" s="930" t="s">
        <v>873</v>
      </c>
      <c r="D401" s="930"/>
      <c r="E401" s="930"/>
      <c r="F401" s="930"/>
      <c r="G401" s="933"/>
      <c r="H401" s="932"/>
    </row>
    <row r="402" spans="2:8" s="765" customFormat="1" x14ac:dyDescent="0.2">
      <c r="B402" s="930" t="s">
        <v>556</v>
      </c>
      <c r="C402" s="930" t="s">
        <v>746</v>
      </c>
      <c r="D402" s="930"/>
      <c r="E402" s="930"/>
      <c r="F402" s="930"/>
      <c r="G402" s="933"/>
      <c r="H402" s="932"/>
    </row>
    <row r="403" spans="2:8" s="765" customFormat="1" x14ac:dyDescent="0.2">
      <c r="B403" s="930"/>
      <c r="C403" s="930" t="s">
        <v>17</v>
      </c>
      <c r="D403" s="930"/>
      <c r="E403" s="934" t="s">
        <v>242</v>
      </c>
      <c r="F403" s="930">
        <v>5.5E-2</v>
      </c>
      <c r="G403" s="933">
        <f>$G$382</f>
        <v>110000</v>
      </c>
      <c r="H403" s="932">
        <f>F403*G403</f>
        <v>6050</v>
      </c>
    </row>
    <row r="404" spans="2:8" s="765" customFormat="1" x14ac:dyDescent="0.2">
      <c r="B404" s="930"/>
      <c r="C404" s="930" t="s">
        <v>51</v>
      </c>
      <c r="D404" s="930"/>
      <c r="E404" s="934" t="s">
        <v>242</v>
      </c>
      <c r="F404" s="930">
        <v>5.5E-2</v>
      </c>
      <c r="G404" s="933">
        <f>$G$383</f>
        <v>153000</v>
      </c>
      <c r="H404" s="932">
        <f>F404*G404</f>
        <v>8415</v>
      </c>
    </row>
    <row r="405" spans="2:8" s="765" customFormat="1" x14ac:dyDescent="0.2">
      <c r="B405" s="930"/>
      <c r="C405" s="930" t="s">
        <v>18</v>
      </c>
      <c r="D405" s="930"/>
      <c r="E405" s="934" t="s">
        <v>242</v>
      </c>
      <c r="F405" s="930">
        <v>5.4999999999999997E-3</v>
      </c>
      <c r="G405" s="933">
        <f>$G$384</f>
        <v>170000</v>
      </c>
      <c r="H405" s="932">
        <f>F405*G405</f>
        <v>935</v>
      </c>
    </row>
    <row r="406" spans="2:8" s="765" customFormat="1" x14ac:dyDescent="0.2">
      <c r="B406" s="930"/>
      <c r="C406" s="930" t="s">
        <v>19</v>
      </c>
      <c r="D406" s="930"/>
      <c r="E406" s="934" t="s">
        <v>242</v>
      </c>
      <c r="F406" s="930">
        <v>5.4999999999999997E-3</v>
      </c>
      <c r="G406" s="933">
        <f>$G$385</f>
        <v>150000</v>
      </c>
      <c r="H406" s="932">
        <f>F406*G406</f>
        <v>825</v>
      </c>
    </row>
    <row r="407" spans="2:8" s="765" customFormat="1" x14ac:dyDescent="0.2">
      <c r="B407" s="930"/>
      <c r="C407" s="930"/>
      <c r="D407" s="930"/>
      <c r="E407" s="930"/>
      <c r="F407" s="935" t="s">
        <v>830</v>
      </c>
      <c r="G407" s="935"/>
      <c r="H407" s="938">
        <f>SUM(H403:H406)</f>
        <v>16225</v>
      </c>
    </row>
    <row r="408" spans="2:8" s="765" customFormat="1" x14ac:dyDescent="0.2">
      <c r="B408" s="930" t="s">
        <v>1</v>
      </c>
      <c r="C408" s="930" t="s">
        <v>5</v>
      </c>
      <c r="D408" s="930"/>
      <c r="E408" s="930"/>
      <c r="F408" s="930"/>
      <c r="G408" s="933"/>
      <c r="H408" s="932"/>
    </row>
    <row r="409" spans="2:8" s="765" customFormat="1" x14ac:dyDescent="0.2">
      <c r="B409" s="930"/>
      <c r="C409" s="930" t="s">
        <v>879</v>
      </c>
      <c r="D409" s="930"/>
      <c r="E409" s="937" t="s">
        <v>308</v>
      </c>
      <c r="F409" s="930">
        <v>1</v>
      </c>
      <c r="G409" s="933">
        <f>'UPah &amp; Bahan oke'!H107</f>
        <v>65000</v>
      </c>
      <c r="H409" s="932">
        <f>F409*G409</f>
        <v>65000</v>
      </c>
    </row>
    <row r="410" spans="2:8" s="765" customFormat="1" x14ac:dyDescent="0.2">
      <c r="B410" s="930"/>
      <c r="C410" s="930" t="s">
        <v>869</v>
      </c>
      <c r="D410" s="930"/>
      <c r="E410" s="937" t="s">
        <v>870</v>
      </c>
      <c r="F410" s="930">
        <v>2.5000000000000001E-2</v>
      </c>
      <c r="G410" s="933">
        <f>H409</f>
        <v>65000</v>
      </c>
      <c r="H410" s="932">
        <f>F410*G410</f>
        <v>1625</v>
      </c>
    </row>
    <row r="411" spans="2:8" s="765" customFormat="1" x14ac:dyDescent="0.2">
      <c r="B411" s="930"/>
      <c r="C411" s="930"/>
      <c r="D411" s="930"/>
      <c r="E411" s="937"/>
      <c r="F411" s="935" t="s">
        <v>833</v>
      </c>
      <c r="G411" s="936"/>
      <c r="H411" s="938">
        <f>SUM(H409:H410)</f>
        <v>66625</v>
      </c>
    </row>
    <row r="412" spans="2:8" s="765" customFormat="1" x14ac:dyDescent="0.2">
      <c r="B412" s="939" t="s">
        <v>560</v>
      </c>
      <c r="C412" s="940" t="s">
        <v>834</v>
      </c>
      <c r="D412" s="930"/>
      <c r="E412" s="941"/>
      <c r="F412" s="934"/>
      <c r="G412" s="942"/>
      <c r="H412" s="943"/>
    </row>
    <row r="413" spans="2:8" s="765" customFormat="1" x14ac:dyDescent="0.2">
      <c r="B413" s="939"/>
      <c r="C413" s="940"/>
      <c r="D413" s="930"/>
      <c r="E413" s="941"/>
      <c r="F413" s="934"/>
      <c r="G413" s="942"/>
      <c r="H413" s="943">
        <f>F413*G413</f>
        <v>0</v>
      </c>
    </row>
    <row r="414" spans="2:8" s="765" customFormat="1" x14ac:dyDescent="0.2">
      <c r="B414" s="939"/>
      <c r="C414" s="940"/>
      <c r="D414" s="930"/>
      <c r="E414" s="941"/>
      <c r="F414" s="935" t="s">
        <v>835</v>
      </c>
      <c r="G414" s="935"/>
      <c r="H414" s="943">
        <f>SUM(H413:H413)</f>
        <v>0</v>
      </c>
    </row>
    <row r="415" spans="2:8" s="765" customFormat="1" x14ac:dyDescent="0.2">
      <c r="B415" s="944" t="s">
        <v>564</v>
      </c>
      <c r="C415" s="1562" t="s">
        <v>565</v>
      </c>
      <c r="D415" s="1562"/>
      <c r="E415" s="1562"/>
      <c r="F415" s="1562"/>
      <c r="G415" s="1562"/>
      <c r="H415" s="943">
        <f>H406+H411+H414</f>
        <v>67450</v>
      </c>
    </row>
    <row r="416" spans="2:8" s="765" customFormat="1" x14ac:dyDescent="0.2">
      <c r="B416" s="944" t="s">
        <v>566</v>
      </c>
      <c r="C416" s="1562" t="s">
        <v>785</v>
      </c>
      <c r="D416" s="1562"/>
      <c r="E416" s="1562"/>
      <c r="F416" s="945">
        <f>$I$6</f>
        <v>0.15</v>
      </c>
      <c r="G416" s="939"/>
      <c r="H416" s="938">
        <f>H415*F416</f>
        <v>10117.5</v>
      </c>
    </row>
    <row r="417" spans="2:8" s="765" customFormat="1" x14ac:dyDescent="0.2">
      <c r="B417" s="944" t="s">
        <v>567</v>
      </c>
      <c r="C417" s="1562" t="s">
        <v>836</v>
      </c>
      <c r="D417" s="1562"/>
      <c r="E417" s="1562"/>
      <c r="F417" s="1562"/>
      <c r="G417" s="1562"/>
      <c r="H417" s="938">
        <f>H415+H416</f>
        <v>77567.5</v>
      </c>
    </row>
    <row r="418" spans="2:8" s="765" customFormat="1" x14ac:dyDescent="0.2">
      <c r="B418" s="930"/>
      <c r="C418" s="930"/>
      <c r="D418" s="930"/>
      <c r="E418" s="930"/>
      <c r="F418" s="930"/>
      <c r="G418" s="933"/>
      <c r="H418" s="932"/>
    </row>
    <row r="419" spans="2:8" s="765" customFormat="1" x14ac:dyDescent="0.2">
      <c r="B419" s="930"/>
      <c r="C419" s="930"/>
      <c r="D419" s="930"/>
      <c r="E419" s="930"/>
      <c r="F419" s="930"/>
      <c r="G419" s="933"/>
      <c r="H419" s="932"/>
    </row>
    <row r="420" spans="2:8" s="765" customFormat="1" ht="15" x14ac:dyDescent="0.25">
      <c r="B420" s="929" t="s">
        <v>770</v>
      </c>
      <c r="C420" s="930" t="s">
        <v>903</v>
      </c>
      <c r="D420" s="930"/>
      <c r="E420" s="930"/>
      <c r="F420" s="930"/>
      <c r="G420" s="933"/>
      <c r="H420" s="932"/>
    </row>
    <row r="421" spans="2:8" s="765" customFormat="1" x14ac:dyDescent="0.2">
      <c r="B421" s="930" t="s">
        <v>556</v>
      </c>
      <c r="C421" s="930" t="s">
        <v>746</v>
      </c>
      <c r="D421" s="930"/>
      <c r="E421" s="930"/>
      <c r="F421" s="930"/>
      <c r="G421" s="933"/>
      <c r="H421" s="932"/>
    </row>
    <row r="422" spans="2:8" s="765" customFormat="1" x14ac:dyDescent="0.2">
      <c r="B422" s="930"/>
      <c r="C422" s="930" t="s">
        <v>17</v>
      </c>
      <c r="D422" s="930"/>
      <c r="E422" s="934" t="s">
        <v>242</v>
      </c>
      <c r="F422" s="930">
        <v>0.11</v>
      </c>
      <c r="G422" s="933">
        <f>$G$382</f>
        <v>110000</v>
      </c>
      <c r="H422" s="932">
        <f>F422*G422</f>
        <v>12100</v>
      </c>
    </row>
    <row r="423" spans="2:8" s="765" customFormat="1" x14ac:dyDescent="0.2">
      <c r="B423" s="930"/>
      <c r="C423" s="930" t="s">
        <v>51</v>
      </c>
      <c r="D423" s="930"/>
      <c r="E423" s="934" t="s">
        <v>242</v>
      </c>
      <c r="F423" s="930">
        <v>0.11</v>
      </c>
      <c r="G423" s="933">
        <f>$G$383</f>
        <v>153000</v>
      </c>
      <c r="H423" s="932">
        <f>F423*G423</f>
        <v>16830</v>
      </c>
    </row>
    <row r="424" spans="2:8" s="765" customFormat="1" x14ac:dyDescent="0.2">
      <c r="B424" s="930"/>
      <c r="C424" s="930" t="s">
        <v>18</v>
      </c>
      <c r="D424" s="930"/>
      <c r="E424" s="934" t="s">
        <v>242</v>
      </c>
      <c r="F424" s="930">
        <v>1.0999999999999999E-2</v>
      </c>
      <c r="G424" s="933">
        <f>$G$384</f>
        <v>170000</v>
      </c>
      <c r="H424" s="932">
        <f>F424*G424</f>
        <v>1870</v>
      </c>
    </row>
    <row r="425" spans="2:8" s="765" customFormat="1" x14ac:dyDescent="0.2">
      <c r="B425" s="930"/>
      <c r="C425" s="930" t="s">
        <v>19</v>
      </c>
      <c r="D425" s="930"/>
      <c r="E425" s="934" t="s">
        <v>242</v>
      </c>
      <c r="F425" s="930">
        <v>1.0999999999999999E-2</v>
      </c>
      <c r="G425" s="933">
        <f>$G$385</f>
        <v>150000</v>
      </c>
      <c r="H425" s="932">
        <f>F425*G425</f>
        <v>1650</v>
      </c>
    </row>
    <row r="426" spans="2:8" s="765" customFormat="1" x14ac:dyDescent="0.2">
      <c r="B426" s="930"/>
      <c r="C426" s="930"/>
      <c r="D426" s="930"/>
      <c r="E426" s="930"/>
      <c r="F426" s="935" t="s">
        <v>830</v>
      </c>
      <c r="G426" s="935"/>
      <c r="H426" s="938">
        <f>SUM(H422:H425)</f>
        <v>32450</v>
      </c>
    </row>
    <row r="427" spans="2:8" s="765" customFormat="1" x14ac:dyDescent="0.2">
      <c r="B427" s="930" t="s">
        <v>1</v>
      </c>
      <c r="C427" s="930" t="s">
        <v>5</v>
      </c>
      <c r="D427" s="930"/>
      <c r="E427" s="930"/>
      <c r="F427" s="930"/>
      <c r="G427" s="933"/>
      <c r="H427" s="932"/>
    </row>
    <row r="428" spans="2:8" s="765" customFormat="1" x14ac:dyDescent="0.2">
      <c r="B428" s="930"/>
      <c r="C428" s="930" t="s">
        <v>905</v>
      </c>
      <c r="D428" s="930"/>
      <c r="E428" s="937" t="s">
        <v>308</v>
      </c>
      <c r="F428" s="930">
        <v>1</v>
      </c>
      <c r="G428" s="933">
        <f>'UPah &amp; Bahan oke'!H108</f>
        <v>65000</v>
      </c>
      <c r="H428" s="932">
        <f>F428*G428</f>
        <v>65000</v>
      </c>
    </row>
    <row r="429" spans="2:8" s="765" customFormat="1" x14ac:dyDescent="0.2">
      <c r="B429" s="930"/>
      <c r="C429" s="930" t="s">
        <v>904</v>
      </c>
      <c r="D429" s="930"/>
      <c r="E429" s="937" t="s">
        <v>308</v>
      </c>
      <c r="F429" s="930">
        <v>2</v>
      </c>
      <c r="G429" s="933">
        <f>'UPah &amp; Bahan oke'!H109</f>
        <v>35000</v>
      </c>
      <c r="H429" s="932">
        <f>F429*G429</f>
        <v>70000</v>
      </c>
    </row>
    <row r="430" spans="2:8" s="765" customFormat="1" x14ac:dyDescent="0.2">
      <c r="B430" s="930"/>
      <c r="C430" s="930" t="s">
        <v>869</v>
      </c>
      <c r="D430" s="930"/>
      <c r="E430" s="937" t="s">
        <v>306</v>
      </c>
      <c r="F430" s="930">
        <v>1.4999999999999999E-2</v>
      </c>
      <c r="G430" s="933">
        <f>SUM(H428:H429)</f>
        <v>135000</v>
      </c>
      <c r="H430" s="932">
        <f>F430*G430</f>
        <v>2025</v>
      </c>
    </row>
    <row r="431" spans="2:8" s="765" customFormat="1" x14ac:dyDescent="0.2">
      <c r="B431" s="930"/>
      <c r="C431" s="930"/>
      <c r="D431" s="930"/>
      <c r="E431" s="937"/>
      <c r="F431" s="935" t="s">
        <v>833</v>
      </c>
      <c r="G431" s="936"/>
      <c r="H431" s="938">
        <f>SUM(H428:H430)</f>
        <v>137025</v>
      </c>
    </row>
    <row r="432" spans="2:8" s="765" customFormat="1" x14ac:dyDescent="0.2">
      <c r="B432" s="939" t="s">
        <v>560</v>
      </c>
      <c r="C432" s="940" t="s">
        <v>834</v>
      </c>
      <c r="D432" s="930"/>
      <c r="E432" s="941"/>
      <c r="F432" s="934"/>
      <c r="G432" s="942"/>
      <c r="H432" s="943"/>
    </row>
    <row r="433" spans="2:8" s="765" customFormat="1" x14ac:dyDescent="0.2">
      <c r="B433" s="939"/>
      <c r="C433" s="940"/>
      <c r="D433" s="930"/>
      <c r="E433" s="941"/>
      <c r="F433" s="934"/>
      <c r="G433" s="942"/>
      <c r="H433" s="943">
        <f>F433*G433</f>
        <v>0</v>
      </c>
    </row>
    <row r="434" spans="2:8" s="765" customFormat="1" x14ac:dyDescent="0.2">
      <c r="B434" s="939"/>
      <c r="C434" s="940"/>
      <c r="D434" s="930"/>
      <c r="E434" s="941"/>
      <c r="F434" s="935" t="s">
        <v>835</v>
      </c>
      <c r="G434" s="935"/>
      <c r="H434" s="943">
        <f>SUM(H433:H433)</f>
        <v>0</v>
      </c>
    </row>
    <row r="435" spans="2:8" s="765" customFormat="1" x14ac:dyDescent="0.2">
      <c r="B435" s="944" t="s">
        <v>564</v>
      </c>
      <c r="C435" s="1562" t="s">
        <v>565</v>
      </c>
      <c r="D435" s="1562"/>
      <c r="E435" s="1562"/>
      <c r="F435" s="1562"/>
      <c r="G435" s="1562"/>
      <c r="H435" s="943">
        <f>H425+H431+H434</f>
        <v>138675</v>
      </c>
    </row>
    <row r="436" spans="2:8" s="765" customFormat="1" x14ac:dyDescent="0.2">
      <c r="B436" s="944" t="s">
        <v>566</v>
      </c>
      <c r="C436" s="1562" t="s">
        <v>785</v>
      </c>
      <c r="D436" s="1562"/>
      <c r="E436" s="1562"/>
      <c r="F436" s="945">
        <f>$I$6</f>
        <v>0.15</v>
      </c>
      <c r="G436" s="939"/>
      <c r="H436" s="938">
        <f>H435*F436</f>
        <v>20801.25</v>
      </c>
    </row>
    <row r="437" spans="2:8" s="765" customFormat="1" x14ac:dyDescent="0.2">
      <c r="B437" s="944" t="s">
        <v>567</v>
      </c>
      <c r="C437" s="1562" t="s">
        <v>836</v>
      </c>
      <c r="D437" s="1562"/>
      <c r="E437" s="1562"/>
      <c r="F437" s="1562"/>
      <c r="G437" s="1562"/>
      <c r="H437" s="938">
        <f>H435+H436</f>
        <v>159476.25</v>
      </c>
    </row>
    <row r="438" spans="2:8" s="765" customFormat="1" x14ac:dyDescent="0.2">
      <c r="B438" s="930"/>
      <c r="C438" s="930"/>
      <c r="D438" s="930"/>
      <c r="E438" s="930"/>
      <c r="F438" s="930"/>
      <c r="G438" s="931"/>
      <c r="H438" s="932"/>
    </row>
    <row r="439" spans="2:8" s="765" customFormat="1" x14ac:dyDescent="0.2">
      <c r="B439" s="930"/>
      <c r="C439" s="930"/>
      <c r="D439" s="930"/>
      <c r="E439" s="930"/>
      <c r="F439" s="930"/>
      <c r="G439" s="931"/>
      <c r="H439" s="932"/>
    </row>
    <row r="440" spans="2:8" s="765" customFormat="1" ht="15" x14ac:dyDescent="0.25">
      <c r="B440" s="946" t="s">
        <v>608</v>
      </c>
      <c r="C440" s="946" t="s">
        <v>609</v>
      </c>
      <c r="D440" s="930"/>
      <c r="E440" s="947"/>
      <c r="F440" s="948"/>
      <c r="G440" s="949"/>
      <c r="H440" s="949"/>
    </row>
    <row r="441" spans="2:8" s="765" customFormat="1" ht="28.5" x14ac:dyDescent="0.2">
      <c r="B441" s="950" t="s">
        <v>146</v>
      </c>
      <c r="C441" s="950" t="s">
        <v>550</v>
      </c>
      <c r="D441" s="951" t="s">
        <v>551</v>
      </c>
      <c r="E441" s="951" t="s">
        <v>552</v>
      </c>
      <c r="F441" s="952" t="s">
        <v>553</v>
      </c>
      <c r="G441" s="953" t="s">
        <v>554</v>
      </c>
      <c r="H441" s="953" t="s">
        <v>555</v>
      </c>
    </row>
    <row r="442" spans="2:8" s="765" customFormat="1" x14ac:dyDescent="0.2">
      <c r="B442" s="954" t="s">
        <v>556</v>
      </c>
      <c r="C442" s="954" t="s">
        <v>15</v>
      </c>
      <c r="D442" s="955"/>
      <c r="E442" s="955"/>
      <c r="F442" s="956"/>
      <c r="G442" s="957"/>
      <c r="H442" s="957"/>
    </row>
    <row r="443" spans="2:8" s="765" customFormat="1" x14ac:dyDescent="0.2">
      <c r="B443" s="954"/>
      <c r="C443" s="954" t="s">
        <v>17</v>
      </c>
      <c r="D443" s="955" t="s">
        <v>557</v>
      </c>
      <c r="E443" s="955" t="s">
        <v>242</v>
      </c>
      <c r="F443" s="956">
        <v>0.24</v>
      </c>
      <c r="G443" s="958">
        <f>$G$382</f>
        <v>110000</v>
      </c>
      <c r="H443" s="957">
        <f>F443*G443</f>
        <v>26400</v>
      </c>
    </row>
    <row r="444" spans="2:8" s="765" customFormat="1" x14ac:dyDescent="0.2">
      <c r="B444" s="954"/>
      <c r="C444" s="954" t="s">
        <v>597</v>
      </c>
      <c r="D444" s="955" t="s">
        <v>581</v>
      </c>
      <c r="E444" s="955" t="s">
        <v>242</v>
      </c>
      <c r="F444" s="956">
        <v>0.38</v>
      </c>
      <c r="G444" s="958">
        <f>$G$383</f>
        <v>153000</v>
      </c>
      <c r="H444" s="957">
        <f>F444*G444</f>
        <v>58140</v>
      </c>
    </row>
    <row r="445" spans="2:8" s="765" customFormat="1" x14ac:dyDescent="0.2">
      <c r="B445" s="954"/>
      <c r="C445" s="954" t="s">
        <v>18</v>
      </c>
      <c r="D445" s="955" t="s">
        <v>582</v>
      </c>
      <c r="E445" s="955" t="s">
        <v>242</v>
      </c>
      <c r="F445" s="956">
        <v>3.7999999999999999E-2</v>
      </c>
      <c r="G445" s="958">
        <f>$G$384</f>
        <v>170000</v>
      </c>
      <c r="H445" s="957">
        <f>F445*G445</f>
        <v>6460</v>
      </c>
    </row>
    <row r="446" spans="2:8" s="765" customFormat="1" x14ac:dyDescent="0.2">
      <c r="B446" s="954"/>
      <c r="C446" s="954" t="s">
        <v>19</v>
      </c>
      <c r="D446" s="955" t="s">
        <v>558</v>
      </c>
      <c r="E446" s="955" t="s">
        <v>242</v>
      </c>
      <c r="F446" s="956">
        <v>3.5000000000000003E-2</v>
      </c>
      <c r="G446" s="958">
        <f>$G$385</f>
        <v>150000</v>
      </c>
      <c r="H446" s="957">
        <f>F446*G446</f>
        <v>5250.0000000000009</v>
      </c>
    </row>
    <row r="447" spans="2:8" s="765" customFormat="1" x14ac:dyDescent="0.2">
      <c r="B447" s="954"/>
      <c r="C447" s="954"/>
      <c r="D447" s="955"/>
      <c r="E447" s="955"/>
      <c r="F447" s="956" t="s">
        <v>559</v>
      </c>
      <c r="G447" s="957"/>
      <c r="H447" s="957">
        <f>SUM(H443:H446)</f>
        <v>96250</v>
      </c>
    </row>
    <row r="448" spans="2:8" s="765" customFormat="1" x14ac:dyDescent="0.2">
      <c r="B448" s="954" t="s">
        <v>1</v>
      </c>
      <c r="C448" s="954" t="s">
        <v>5</v>
      </c>
      <c r="D448" s="955"/>
      <c r="E448" s="955"/>
      <c r="F448" s="956"/>
      <c r="G448" s="957"/>
      <c r="H448" s="957"/>
    </row>
    <row r="449" spans="2:8" s="765" customFormat="1" x14ac:dyDescent="0.2">
      <c r="B449" s="954"/>
      <c r="C449" s="959" t="s">
        <v>610</v>
      </c>
      <c r="D449" s="955"/>
      <c r="E449" s="955" t="s">
        <v>305</v>
      </c>
      <c r="F449" s="956">
        <v>3.4</v>
      </c>
      <c r="G449" s="960">
        <f>'UPah &amp; Bahan oke'!H63</f>
        <v>35000</v>
      </c>
      <c r="H449" s="957">
        <f>F449*G449</f>
        <v>119000</v>
      </c>
    </row>
    <row r="450" spans="2:8" s="765" customFormat="1" x14ac:dyDescent="0.2">
      <c r="B450" s="954"/>
      <c r="C450" s="954" t="s">
        <v>611</v>
      </c>
      <c r="D450" s="955"/>
      <c r="E450" s="955" t="s">
        <v>305</v>
      </c>
      <c r="F450" s="956">
        <v>1.9</v>
      </c>
      <c r="G450" s="960">
        <f>'UPah &amp; Bahan oke'!H64</f>
        <v>7920.0000000000009</v>
      </c>
      <c r="H450" s="957">
        <f>F450*G450</f>
        <v>15048.000000000002</v>
      </c>
    </row>
    <row r="451" spans="2:8" s="765" customFormat="1" x14ac:dyDescent="0.2">
      <c r="B451" s="954"/>
      <c r="C451" s="954" t="s">
        <v>512</v>
      </c>
      <c r="D451" s="955"/>
      <c r="E451" s="955" t="s">
        <v>308</v>
      </c>
      <c r="F451" s="956">
        <v>0.5</v>
      </c>
      <c r="G451" s="960">
        <f>'UPah &amp; Bahan oke'!H61</f>
        <v>11000</v>
      </c>
      <c r="H451" s="957">
        <f>F451*G451</f>
        <v>5500</v>
      </c>
    </row>
    <row r="452" spans="2:8" s="765" customFormat="1" x14ac:dyDescent="0.2">
      <c r="B452" s="954"/>
      <c r="C452" s="954" t="s">
        <v>612</v>
      </c>
      <c r="D452" s="955"/>
      <c r="E452" s="955" t="s">
        <v>308</v>
      </c>
      <c r="F452" s="956">
        <v>8</v>
      </c>
      <c r="G452" s="961">
        <f>'UPah &amp; Bahan oke'!H62</f>
        <v>1000</v>
      </c>
      <c r="H452" s="957">
        <f>F452*G452</f>
        <v>8000</v>
      </c>
    </row>
    <row r="453" spans="2:8" s="765" customFormat="1" x14ac:dyDescent="0.2">
      <c r="B453" s="954"/>
      <c r="C453" s="954"/>
      <c r="D453" s="955"/>
      <c r="E453" s="955"/>
      <c r="F453" s="956" t="s">
        <v>563</v>
      </c>
      <c r="G453" s="957"/>
      <c r="H453" s="957">
        <f>SUM(H449:H450)</f>
        <v>134048</v>
      </c>
    </row>
    <row r="454" spans="2:8" s="765" customFormat="1" x14ac:dyDescent="0.2">
      <c r="B454" s="954" t="s">
        <v>560</v>
      </c>
      <c r="C454" s="954" t="s">
        <v>561</v>
      </c>
      <c r="D454" s="955"/>
      <c r="E454" s="955"/>
      <c r="F454" s="956"/>
      <c r="G454" s="957"/>
      <c r="H454" s="957"/>
    </row>
    <row r="455" spans="2:8" s="765" customFormat="1" x14ac:dyDescent="0.2">
      <c r="B455" s="954"/>
      <c r="C455" s="954"/>
      <c r="D455" s="955"/>
      <c r="E455" s="955"/>
      <c r="F455" s="956" t="s">
        <v>562</v>
      </c>
      <c r="G455" s="957"/>
      <c r="H455" s="957"/>
    </row>
    <row r="456" spans="2:8" s="765" customFormat="1" x14ac:dyDescent="0.2">
      <c r="B456" s="954" t="s">
        <v>564</v>
      </c>
      <c r="C456" s="954" t="s">
        <v>565</v>
      </c>
      <c r="D456" s="955"/>
      <c r="E456" s="955"/>
      <c r="F456" s="956"/>
      <c r="G456" s="957"/>
      <c r="H456" s="957">
        <f>SUM(H447+H453)</f>
        <v>230298</v>
      </c>
    </row>
    <row r="457" spans="2:8" s="765" customFormat="1" x14ac:dyDescent="0.2">
      <c r="B457" s="954" t="s">
        <v>566</v>
      </c>
      <c r="C457" s="954" t="s">
        <v>568</v>
      </c>
      <c r="D457" s="955"/>
      <c r="E457" s="955"/>
      <c r="F457" s="956"/>
      <c r="G457" s="957"/>
      <c r="H457" s="957">
        <f>H456*0.15</f>
        <v>34544.699999999997</v>
      </c>
    </row>
    <row r="458" spans="2:8" s="765" customFormat="1" ht="15" x14ac:dyDescent="0.25">
      <c r="B458" s="954" t="s">
        <v>567</v>
      </c>
      <c r="C458" s="954" t="s">
        <v>569</v>
      </c>
      <c r="D458" s="955"/>
      <c r="E458" s="955"/>
      <c r="F458" s="956"/>
      <c r="G458" s="957"/>
      <c r="H458" s="962">
        <f>SUM(H456:H457)</f>
        <v>264842.7</v>
      </c>
    </row>
    <row r="460" spans="2:8" ht="15" x14ac:dyDescent="0.25">
      <c r="B460" s="929" t="s">
        <v>770</v>
      </c>
      <c r="C460" s="930" t="s">
        <v>1282</v>
      </c>
      <c r="D460" s="930"/>
      <c r="E460" s="930"/>
      <c r="F460" s="930"/>
      <c r="G460" s="933"/>
      <c r="H460" s="932"/>
    </row>
    <row r="461" spans="2:8" x14ac:dyDescent="0.2">
      <c r="B461" s="930" t="s">
        <v>556</v>
      </c>
      <c r="C461" s="930" t="s">
        <v>746</v>
      </c>
      <c r="D461" s="930"/>
      <c r="E461" s="930"/>
      <c r="F461" s="930"/>
      <c r="G461" s="933"/>
      <c r="H461" s="932"/>
    </row>
    <row r="462" spans="2:8" x14ac:dyDescent="0.2">
      <c r="B462" s="930"/>
      <c r="C462" s="930" t="s">
        <v>17</v>
      </c>
      <c r="D462" s="930"/>
      <c r="E462" s="934" t="s">
        <v>242</v>
      </c>
      <c r="F462" s="930">
        <v>5.5E-2</v>
      </c>
      <c r="G462" s="933">
        <f>$G$382</f>
        <v>110000</v>
      </c>
      <c r="H462" s="932">
        <f>F462*G462</f>
        <v>6050</v>
      </c>
    </row>
    <row r="463" spans="2:8" x14ac:dyDescent="0.2">
      <c r="B463" s="930"/>
      <c r="C463" s="930" t="s">
        <v>51</v>
      </c>
      <c r="D463" s="930"/>
      <c r="E463" s="934" t="s">
        <v>242</v>
      </c>
      <c r="F463" s="930">
        <v>5.5E-2</v>
      </c>
      <c r="G463" s="933">
        <f>$G$383</f>
        <v>153000</v>
      </c>
      <c r="H463" s="932">
        <f>F463*G463</f>
        <v>8415</v>
      </c>
    </row>
    <row r="464" spans="2:8" x14ac:dyDescent="0.2">
      <c r="B464" s="930"/>
      <c r="C464" s="930" t="s">
        <v>18</v>
      </c>
      <c r="D464" s="930"/>
      <c r="E464" s="934" t="s">
        <v>242</v>
      </c>
      <c r="F464" s="930">
        <v>5.4999999999999997E-3</v>
      </c>
      <c r="G464" s="933">
        <f>$G$384</f>
        <v>170000</v>
      </c>
      <c r="H464" s="932">
        <f>F464*G464</f>
        <v>935</v>
      </c>
    </row>
    <row r="465" spans="2:8" x14ac:dyDescent="0.2">
      <c r="B465" s="930"/>
      <c r="C465" s="930" t="s">
        <v>19</v>
      </c>
      <c r="D465" s="930"/>
      <c r="E465" s="934" t="s">
        <v>242</v>
      </c>
      <c r="F465" s="930">
        <v>5.4999999999999997E-3</v>
      </c>
      <c r="G465" s="933">
        <f>$G$385</f>
        <v>150000</v>
      </c>
      <c r="H465" s="932">
        <f>F465*G465</f>
        <v>825</v>
      </c>
    </row>
    <row r="466" spans="2:8" x14ac:dyDescent="0.2">
      <c r="B466" s="930"/>
      <c r="C466" s="930"/>
      <c r="D466" s="930"/>
      <c r="E466" s="930"/>
      <c r="F466" s="935" t="s">
        <v>830</v>
      </c>
      <c r="G466" s="935"/>
      <c r="H466" s="938">
        <f>SUM(H462:H465)</f>
        <v>16225</v>
      </c>
    </row>
    <row r="467" spans="2:8" x14ac:dyDescent="0.2">
      <c r="B467" s="930" t="s">
        <v>1</v>
      </c>
      <c r="C467" s="930" t="s">
        <v>5</v>
      </c>
      <c r="D467" s="930"/>
      <c r="E467" s="930"/>
      <c r="F467" s="930"/>
      <c r="G467" s="933"/>
      <c r="H467" s="932"/>
    </row>
    <row r="468" spans="2:8" x14ac:dyDescent="0.2">
      <c r="B468" s="930"/>
      <c r="C468" s="930" t="s">
        <v>1283</v>
      </c>
      <c r="D468" s="930"/>
      <c r="E468" s="937" t="s">
        <v>308</v>
      </c>
      <c r="F468" s="930">
        <v>1</v>
      </c>
      <c r="G468" s="933">
        <f>'UPah &amp; Bahan oke'!H159</f>
        <v>3500</v>
      </c>
      <c r="H468" s="932">
        <f>F468*G468</f>
        <v>3500</v>
      </c>
    </row>
    <row r="469" spans="2:8" x14ac:dyDescent="0.2">
      <c r="B469" s="930"/>
      <c r="C469" s="930" t="s">
        <v>869</v>
      </c>
      <c r="D469" s="930"/>
      <c r="E469" s="937" t="s">
        <v>870</v>
      </c>
      <c r="F469" s="930">
        <v>2.5000000000000001E-2</v>
      </c>
      <c r="G469" s="933">
        <f>H468</f>
        <v>3500</v>
      </c>
      <c r="H469" s="932">
        <f>F469*G469</f>
        <v>87.5</v>
      </c>
    </row>
    <row r="470" spans="2:8" x14ac:dyDescent="0.2">
      <c r="B470" s="930"/>
      <c r="C470" s="930"/>
      <c r="D470" s="930"/>
      <c r="E470" s="937"/>
      <c r="F470" s="935" t="s">
        <v>833</v>
      </c>
      <c r="G470" s="936"/>
      <c r="H470" s="938">
        <f>SUM(H468:H469)</f>
        <v>3587.5</v>
      </c>
    </row>
    <row r="471" spans="2:8" x14ac:dyDescent="0.2">
      <c r="B471" s="1460" t="s">
        <v>560</v>
      </c>
      <c r="C471" s="940" t="s">
        <v>834</v>
      </c>
      <c r="D471" s="930"/>
      <c r="E471" s="941"/>
      <c r="F471" s="934"/>
      <c r="G471" s="942"/>
      <c r="H471" s="943"/>
    </row>
    <row r="472" spans="2:8" x14ac:dyDescent="0.2">
      <c r="B472" s="1460"/>
      <c r="C472" s="940"/>
      <c r="D472" s="930"/>
      <c r="E472" s="941"/>
      <c r="F472" s="934"/>
      <c r="G472" s="942"/>
      <c r="H472" s="943">
        <f>F472*G472</f>
        <v>0</v>
      </c>
    </row>
    <row r="473" spans="2:8" x14ac:dyDescent="0.2">
      <c r="B473" s="1460"/>
      <c r="C473" s="940"/>
      <c r="D473" s="930"/>
      <c r="E473" s="941"/>
      <c r="F473" s="935" t="s">
        <v>835</v>
      </c>
      <c r="G473" s="935"/>
      <c r="H473" s="943">
        <f>SUM(H472:H472)</f>
        <v>0</v>
      </c>
    </row>
    <row r="474" spans="2:8" x14ac:dyDescent="0.2">
      <c r="B474" s="944" t="s">
        <v>564</v>
      </c>
      <c r="C474" s="1562" t="s">
        <v>565</v>
      </c>
      <c r="D474" s="1562"/>
      <c r="E474" s="1562"/>
      <c r="F474" s="1562"/>
      <c r="G474" s="1562"/>
      <c r="H474" s="943">
        <f>H465+H470+H473</f>
        <v>4412.5</v>
      </c>
    </row>
    <row r="475" spans="2:8" x14ac:dyDescent="0.2">
      <c r="B475" s="944" t="s">
        <v>566</v>
      </c>
      <c r="C475" s="1562" t="s">
        <v>785</v>
      </c>
      <c r="D475" s="1562"/>
      <c r="E475" s="1562"/>
      <c r="F475" s="945">
        <f>$I$6</f>
        <v>0.15</v>
      </c>
      <c r="G475" s="1460"/>
      <c r="H475" s="938">
        <f>H474*F475</f>
        <v>661.875</v>
      </c>
    </row>
    <row r="476" spans="2:8" x14ac:dyDescent="0.2">
      <c r="B476" s="944" t="s">
        <v>567</v>
      </c>
      <c r="C476" s="1562" t="s">
        <v>836</v>
      </c>
      <c r="D476" s="1562"/>
      <c r="E476" s="1562"/>
      <c r="F476" s="1562"/>
      <c r="G476" s="1562"/>
      <c r="H476" s="938">
        <f>H474+H475</f>
        <v>5074.375</v>
      </c>
    </row>
  </sheetData>
  <protectedRanges>
    <protectedRange password="CF35" sqref="F297:F300 C302:F302 B297:C300 C303:C306 C295:F296 B311:B313 B302:B306 B301:E301 E303:F305 E306:E310 E329:E331 B332:B334 E349:E351 E370:E372 E391:E393 E412:E414 B352:B354 B373:B375 B394:B396 B415:B417 E432:E434 B435:B437 E471:E473 B474:B476" name="Range1"/>
    <protectedRange password="CF35" sqref="F325:F327 C323:E323 E318 F318:F322 C318:D322 C317:F317 B318:B328 E325:E331 C324:C328 D324:F324 E349:E351 E370:E372 E391:E393 E412:E414 E432:E434 E471:E473" name="Range1_1"/>
  </protectedRanges>
  <mergeCells count="54">
    <mergeCell ref="C435:G435"/>
    <mergeCell ref="C436:E436"/>
    <mergeCell ref="C437:G437"/>
    <mergeCell ref="C394:G394"/>
    <mergeCell ref="C395:E395"/>
    <mergeCell ref="C396:G396"/>
    <mergeCell ref="C415:G415"/>
    <mergeCell ref="C416:E416"/>
    <mergeCell ref="C417:G417"/>
    <mergeCell ref="C375:G375"/>
    <mergeCell ref="C311:G311"/>
    <mergeCell ref="C312:E312"/>
    <mergeCell ref="C313:G313"/>
    <mergeCell ref="C332:G332"/>
    <mergeCell ref="C333:E333"/>
    <mergeCell ref="C334:G334"/>
    <mergeCell ref="C352:G352"/>
    <mergeCell ref="C353:E353"/>
    <mergeCell ref="C354:G354"/>
    <mergeCell ref="C373:G373"/>
    <mergeCell ref="C374:E374"/>
    <mergeCell ref="C293:G293"/>
    <mergeCell ref="F267:G267"/>
    <mergeCell ref="C269:G269"/>
    <mergeCell ref="C270:E270"/>
    <mergeCell ref="F270:G270"/>
    <mergeCell ref="C271:G271"/>
    <mergeCell ref="F281:G281"/>
    <mergeCell ref="F286:G286"/>
    <mergeCell ref="F289:G289"/>
    <mergeCell ref="C291:G291"/>
    <mergeCell ref="C292:E292"/>
    <mergeCell ref="F292:G292"/>
    <mergeCell ref="C211:E211"/>
    <mergeCell ref="F211:G211"/>
    <mergeCell ref="C212:G212"/>
    <mergeCell ref="M221:P221"/>
    <mergeCell ref="F261:G261"/>
    <mergeCell ref="C474:G474"/>
    <mergeCell ref="C475:E475"/>
    <mergeCell ref="C476:G476"/>
    <mergeCell ref="M89:P89"/>
    <mergeCell ref="B1:H5"/>
    <mergeCell ref="M41:P41"/>
    <mergeCell ref="M56:P56"/>
    <mergeCell ref="M73:P73"/>
    <mergeCell ref="M77:P77"/>
    <mergeCell ref="F264:G264"/>
    <mergeCell ref="M102:P102"/>
    <mergeCell ref="M116:P116"/>
    <mergeCell ref="M133:P133"/>
    <mergeCell ref="F201:G201"/>
    <mergeCell ref="F205:G205"/>
    <mergeCell ref="C210:G210"/>
  </mergeCells>
  <printOptions horizontalCentered="1"/>
  <pageMargins left="0.43307086614173229" right="0.19685039370078741" top="0.74803149606299213" bottom="0.74803149606299213" header="0.31496062992125984" footer="0.31496062992125984"/>
  <pageSetup scale="79" orientation="portrait" r:id="rId1"/>
  <rowBreaks count="5" manualBreakCount="5">
    <brk id="48" max="16383" man="1"/>
    <brk id="102" max="16383" man="1"/>
    <brk id="156" max="16383" man="1"/>
    <brk id="209" max="16383" man="1"/>
    <brk id="2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02"/>
  <sheetViews>
    <sheetView view="pageBreakPreview" topLeftCell="A753" zoomScale="85" zoomScaleSheetLayoutView="85" workbookViewId="0">
      <selection activeCell="I820" sqref="I820"/>
    </sheetView>
  </sheetViews>
  <sheetFormatPr defaultRowHeight="15" x14ac:dyDescent="0.25"/>
  <cols>
    <col min="1" max="1" width="8.85546875" style="356" customWidth="1"/>
    <col min="2" max="2" width="32.42578125" style="356" customWidth="1"/>
    <col min="3" max="3" width="11.7109375" style="357" customWidth="1"/>
    <col min="4" max="4" width="9.140625" style="357"/>
    <col min="5" max="5" width="10.42578125" style="358" customWidth="1"/>
    <col min="6" max="6" width="17.42578125" style="359" customWidth="1"/>
    <col min="7" max="7" width="15.85546875" style="359" customWidth="1"/>
    <col min="8" max="8" width="9.140625" style="356"/>
  </cols>
  <sheetData>
    <row r="1" spans="1:7" ht="18.75" x14ac:dyDescent="0.25">
      <c r="A1" s="1569" t="s">
        <v>118</v>
      </c>
      <c r="B1" s="1569"/>
      <c r="C1" s="1569"/>
      <c r="D1" s="1569"/>
      <c r="E1" s="1569"/>
      <c r="F1" s="1569"/>
      <c r="G1" s="1569"/>
    </row>
    <row r="2" spans="1:7" ht="18.75" customHeight="1" x14ac:dyDescent="0.25"/>
    <row r="3" spans="1:7" ht="18.75" customHeight="1" x14ac:dyDescent="0.25"/>
    <row r="4" spans="1:7" ht="15" customHeight="1" x14ac:dyDescent="0.25">
      <c r="A4" s="356" t="s">
        <v>1060</v>
      </c>
      <c r="C4" s="357" t="s">
        <v>1061</v>
      </c>
    </row>
    <row r="5" spans="1:7" ht="15" customHeight="1" x14ac:dyDescent="0.25">
      <c r="A5" s="1335" t="s">
        <v>146</v>
      </c>
      <c r="B5" s="1335" t="s">
        <v>550</v>
      </c>
      <c r="C5" s="1336" t="s">
        <v>551</v>
      </c>
      <c r="D5" s="1336" t="s">
        <v>552</v>
      </c>
      <c r="E5" s="1337" t="s">
        <v>553</v>
      </c>
      <c r="F5" s="1338" t="s">
        <v>554</v>
      </c>
      <c r="G5" s="1338" t="s">
        <v>555</v>
      </c>
    </row>
    <row r="6" spans="1:7" ht="15" customHeight="1" x14ac:dyDescent="0.25">
      <c r="A6" s="1331" t="s">
        <v>556</v>
      </c>
      <c r="B6" s="1331" t="s">
        <v>15</v>
      </c>
      <c r="C6" s="1332"/>
      <c r="D6" s="1332"/>
      <c r="E6" s="1333"/>
      <c r="F6" s="1334"/>
      <c r="G6" s="1334"/>
    </row>
    <row r="7" spans="1:7" ht="15" customHeight="1" x14ac:dyDescent="0.25">
      <c r="A7" s="1339"/>
      <c r="B7" s="1339" t="s">
        <v>17</v>
      </c>
      <c r="C7" s="1340" t="s">
        <v>557</v>
      </c>
      <c r="D7" s="1340" t="s">
        <v>242</v>
      </c>
      <c r="E7" s="1341">
        <v>1</v>
      </c>
      <c r="F7" s="1342">
        <f>F27</f>
        <v>110000</v>
      </c>
      <c r="G7" s="1342">
        <f>E7*F7</f>
        <v>110000</v>
      </c>
    </row>
    <row r="8" spans="1:7" ht="15" customHeight="1" x14ac:dyDescent="0.25">
      <c r="A8" s="1331"/>
      <c r="B8" s="1331" t="s">
        <v>19</v>
      </c>
      <c r="C8" s="1332" t="s">
        <v>558</v>
      </c>
      <c r="D8" s="1332" t="s">
        <v>242</v>
      </c>
      <c r="E8" s="1333">
        <v>0.05</v>
      </c>
      <c r="F8" s="1334">
        <f>F30</f>
        <v>150000</v>
      </c>
      <c r="G8" s="1334">
        <f>E8*F8</f>
        <v>7500</v>
      </c>
    </row>
    <row r="9" spans="1:7" ht="15" customHeight="1" x14ac:dyDescent="0.25">
      <c r="A9" s="1335"/>
      <c r="B9" s="1335"/>
      <c r="C9" s="1336"/>
      <c r="D9" s="1336"/>
      <c r="E9" s="1337" t="s">
        <v>559</v>
      </c>
      <c r="F9" s="1338"/>
      <c r="G9" s="1338">
        <f>SUM(G7:G8)</f>
        <v>117500</v>
      </c>
    </row>
    <row r="10" spans="1:7" ht="15" customHeight="1" x14ac:dyDescent="0.25">
      <c r="A10" s="1331" t="s">
        <v>564</v>
      </c>
      <c r="B10" s="1331" t="s">
        <v>565</v>
      </c>
      <c r="C10" s="1332"/>
      <c r="D10" s="1332"/>
      <c r="E10" s="1333"/>
      <c r="F10" s="1334"/>
      <c r="G10" s="1334">
        <f>G9</f>
        <v>117500</v>
      </c>
    </row>
    <row r="11" spans="1:7" ht="15" customHeight="1" x14ac:dyDescent="0.25">
      <c r="A11" s="1335" t="s">
        <v>566</v>
      </c>
      <c r="B11" s="1335" t="s">
        <v>568</v>
      </c>
      <c r="C11" s="1336"/>
      <c r="D11" s="1336"/>
      <c r="E11" s="1337"/>
      <c r="F11" s="1338"/>
      <c r="G11" s="1338">
        <f>15%*G10</f>
        <v>17625</v>
      </c>
    </row>
    <row r="12" spans="1:7" ht="15" customHeight="1" x14ac:dyDescent="0.25">
      <c r="A12" s="1335" t="s">
        <v>567</v>
      </c>
      <c r="B12" s="1335" t="s">
        <v>569</v>
      </c>
      <c r="C12" s="1336"/>
      <c r="D12" s="1336"/>
      <c r="E12" s="1337"/>
      <c r="F12" s="1338"/>
      <c r="G12" s="1338">
        <f>G10+G11</f>
        <v>135125</v>
      </c>
    </row>
    <row r="13" spans="1:7" ht="18.75" customHeight="1" x14ac:dyDescent="0.25"/>
    <row r="14" spans="1:7" ht="15" customHeight="1" x14ac:dyDescent="0.25">
      <c r="A14" s="356" t="s">
        <v>1063</v>
      </c>
      <c r="C14" s="357" t="s">
        <v>1062</v>
      </c>
    </row>
    <row r="15" spans="1:7" ht="15" customHeight="1" x14ac:dyDescent="0.25">
      <c r="A15" s="1335" t="s">
        <v>146</v>
      </c>
      <c r="B15" s="1335" t="s">
        <v>550</v>
      </c>
      <c r="C15" s="1336" t="s">
        <v>551</v>
      </c>
      <c r="D15" s="1336" t="s">
        <v>552</v>
      </c>
      <c r="E15" s="1337" t="s">
        <v>553</v>
      </c>
      <c r="F15" s="1338" t="s">
        <v>554</v>
      </c>
      <c r="G15" s="1338" t="s">
        <v>555</v>
      </c>
    </row>
    <row r="16" spans="1:7" ht="15" customHeight="1" x14ac:dyDescent="0.25">
      <c r="A16" s="1331" t="s">
        <v>556</v>
      </c>
      <c r="B16" s="1331" t="s">
        <v>15</v>
      </c>
      <c r="C16" s="1332"/>
      <c r="D16" s="1332"/>
      <c r="E16" s="1333"/>
      <c r="F16" s="1334"/>
      <c r="G16" s="1334"/>
    </row>
    <row r="17" spans="1:8" ht="15" customHeight="1" x14ac:dyDescent="0.25">
      <c r="A17" s="1339"/>
      <c r="B17" s="1339" t="s">
        <v>17</v>
      </c>
      <c r="C17" s="1340" t="s">
        <v>557</v>
      </c>
      <c r="D17" s="1340" t="s">
        <v>242</v>
      </c>
      <c r="E17" s="1341">
        <v>2</v>
      </c>
      <c r="F17" s="1342">
        <f>F7</f>
        <v>110000</v>
      </c>
      <c r="G17" s="1342">
        <f>E17*F17</f>
        <v>220000</v>
      </c>
    </row>
    <row r="18" spans="1:8" ht="15" customHeight="1" x14ac:dyDescent="0.25">
      <c r="A18" s="1331"/>
      <c r="B18" s="1331" t="s">
        <v>19</v>
      </c>
      <c r="C18" s="1332" t="s">
        <v>558</v>
      </c>
      <c r="D18" s="1332" t="s">
        <v>242</v>
      </c>
      <c r="E18" s="1333">
        <v>0.05</v>
      </c>
      <c r="F18" s="1334">
        <f>F8</f>
        <v>150000</v>
      </c>
      <c r="G18" s="1342">
        <f>E18*F18</f>
        <v>7500</v>
      </c>
    </row>
    <row r="19" spans="1:8" ht="15" customHeight="1" x14ac:dyDescent="0.25">
      <c r="A19" s="1335"/>
      <c r="B19" s="1335"/>
      <c r="C19" s="1336"/>
      <c r="D19" s="1336"/>
      <c r="E19" s="1337" t="s">
        <v>559</v>
      </c>
      <c r="F19" s="1338"/>
      <c r="G19" s="1338">
        <f>SUM(G17:G18)</f>
        <v>227500</v>
      </c>
    </row>
    <row r="20" spans="1:8" ht="15" customHeight="1" x14ac:dyDescent="0.25">
      <c r="A20" s="1331" t="s">
        <v>564</v>
      </c>
      <c r="B20" s="1331" t="s">
        <v>565</v>
      </c>
      <c r="C20" s="1332"/>
      <c r="D20" s="1332"/>
      <c r="E20" s="1333"/>
      <c r="F20" s="1334"/>
      <c r="G20" s="1334">
        <f>G19</f>
        <v>227500</v>
      </c>
    </row>
    <row r="21" spans="1:8" ht="15" customHeight="1" x14ac:dyDescent="0.25">
      <c r="A21" s="1335" t="s">
        <v>566</v>
      </c>
      <c r="B21" s="1335" t="s">
        <v>568</v>
      </c>
      <c r="C21" s="1336"/>
      <c r="D21" s="1336"/>
      <c r="E21" s="1337"/>
      <c r="F21" s="1338"/>
      <c r="G21" s="1338">
        <f>15%*G20</f>
        <v>34125</v>
      </c>
    </row>
    <row r="22" spans="1:8" ht="15" customHeight="1" x14ac:dyDescent="0.25">
      <c r="A22" s="1335" t="s">
        <v>567</v>
      </c>
      <c r="B22" s="1335" t="s">
        <v>569</v>
      </c>
      <c r="C22" s="1336"/>
      <c r="D22" s="1336"/>
      <c r="E22" s="1337"/>
      <c r="F22" s="1338"/>
      <c r="G22" s="1338">
        <f>G20+G21</f>
        <v>261625</v>
      </c>
    </row>
    <row r="23" spans="1:8" ht="18.75" customHeight="1" x14ac:dyDescent="0.25"/>
    <row r="24" spans="1:8" s="651" customFormat="1" x14ac:dyDescent="0.25">
      <c r="A24" s="963" t="s">
        <v>622</v>
      </c>
      <c r="B24" s="964"/>
      <c r="C24" s="963" t="s">
        <v>911</v>
      </c>
      <c r="D24" s="965"/>
      <c r="E24" s="966"/>
      <c r="F24" s="967"/>
      <c r="G24" s="967"/>
      <c r="H24" s="650"/>
    </row>
    <row r="25" spans="1:8" s="651" customFormat="1" x14ac:dyDescent="0.25">
      <c r="A25" s="968" t="s">
        <v>146</v>
      </c>
      <c r="B25" s="968" t="s">
        <v>550</v>
      </c>
      <c r="C25" s="969" t="s">
        <v>551</v>
      </c>
      <c r="D25" s="969" t="s">
        <v>552</v>
      </c>
      <c r="E25" s="970" t="s">
        <v>553</v>
      </c>
      <c r="F25" s="971" t="s">
        <v>554</v>
      </c>
      <c r="G25" s="971" t="s">
        <v>555</v>
      </c>
      <c r="H25" s="650"/>
    </row>
    <row r="26" spans="1:8" s="651" customFormat="1" x14ac:dyDescent="0.25">
      <c r="A26" s="972" t="s">
        <v>556</v>
      </c>
      <c r="B26" s="972" t="s">
        <v>15</v>
      </c>
      <c r="C26" s="973"/>
      <c r="D26" s="973"/>
      <c r="E26" s="974"/>
      <c r="F26" s="975"/>
      <c r="G26" s="975"/>
      <c r="H26" s="650"/>
    </row>
    <row r="27" spans="1:8" s="651" customFormat="1" x14ac:dyDescent="0.25">
      <c r="A27" s="976"/>
      <c r="B27" s="976" t="s">
        <v>17</v>
      </c>
      <c r="C27" s="977" t="s">
        <v>557</v>
      </c>
      <c r="D27" s="977" t="s">
        <v>242</v>
      </c>
      <c r="E27" s="978">
        <v>0.08</v>
      </c>
      <c r="F27" s="979">
        <f>'UPah &amp; Bahan oke'!H9</f>
        <v>110000</v>
      </c>
      <c r="G27" s="979">
        <f>E27*F27</f>
        <v>8800</v>
      </c>
      <c r="H27" s="650"/>
    </row>
    <row r="28" spans="1:8" s="651" customFormat="1" x14ac:dyDescent="0.25">
      <c r="A28" s="980"/>
      <c r="B28" s="980" t="s">
        <v>597</v>
      </c>
      <c r="C28" s="981" t="s">
        <v>581</v>
      </c>
      <c r="D28" s="977" t="s">
        <v>242</v>
      </c>
      <c r="E28" s="982">
        <v>7.0000000000000007E-2</v>
      </c>
      <c r="F28" s="983">
        <f>'UPah &amp; Bahan oke'!H10</f>
        <v>153000</v>
      </c>
      <c r="G28" s="979">
        <f>E28*F28</f>
        <v>10710.000000000002</v>
      </c>
      <c r="H28" s="650"/>
    </row>
    <row r="29" spans="1:8" s="651" customFormat="1" x14ac:dyDescent="0.25">
      <c r="A29" s="980"/>
      <c r="B29" s="980" t="s">
        <v>18</v>
      </c>
      <c r="C29" s="981" t="s">
        <v>582</v>
      </c>
      <c r="D29" s="977" t="s">
        <v>242</v>
      </c>
      <c r="E29" s="982">
        <v>0.01</v>
      </c>
      <c r="F29" s="983">
        <f>'UPah &amp; Bahan oke'!H11</f>
        <v>170000</v>
      </c>
      <c r="G29" s="979">
        <f>E29*F29</f>
        <v>1700</v>
      </c>
      <c r="H29" s="650"/>
    </row>
    <row r="30" spans="1:8" s="651" customFormat="1" x14ac:dyDescent="0.25">
      <c r="A30" s="980"/>
      <c r="B30" s="980" t="s">
        <v>19</v>
      </c>
      <c r="C30" s="981" t="s">
        <v>558</v>
      </c>
      <c r="D30" s="981" t="s">
        <v>242</v>
      </c>
      <c r="E30" s="982">
        <v>5.0000000000000001E-3</v>
      </c>
      <c r="F30" s="983">
        <f>'UPah &amp; Bahan oke'!H12</f>
        <v>150000</v>
      </c>
      <c r="G30" s="979">
        <f>E30*F30</f>
        <v>750</v>
      </c>
      <c r="H30" s="650"/>
    </row>
    <row r="31" spans="1:8" s="651" customFormat="1" x14ac:dyDescent="0.25">
      <c r="A31" s="984"/>
      <c r="B31" s="985"/>
      <c r="C31" s="986"/>
      <c r="D31" s="986"/>
      <c r="E31" s="987" t="s">
        <v>559</v>
      </c>
      <c r="F31" s="988"/>
      <c r="G31" s="989">
        <f>SUM(G27:G30)</f>
        <v>21960</v>
      </c>
      <c r="H31" s="650"/>
    </row>
    <row r="32" spans="1:8" s="651" customFormat="1" x14ac:dyDescent="0.25">
      <c r="A32" s="1018" t="s">
        <v>1</v>
      </c>
      <c r="B32" s="972" t="s">
        <v>5</v>
      </c>
      <c r="C32" s="973"/>
      <c r="D32" s="973"/>
      <c r="E32" s="974"/>
      <c r="F32" s="1020"/>
      <c r="G32" s="975"/>
      <c r="H32" s="650"/>
    </row>
    <row r="33" spans="1:8" s="651" customFormat="1" x14ac:dyDescent="0.25">
      <c r="A33" s="1008"/>
      <c r="B33" s="976" t="s">
        <v>602</v>
      </c>
      <c r="C33" s="977"/>
      <c r="D33" s="977" t="s">
        <v>506</v>
      </c>
      <c r="E33" s="978">
        <v>1.2E-2</v>
      </c>
      <c r="F33" s="1009">
        <f>'UPah &amp; Bahan oke'!H42</f>
        <v>5200000</v>
      </c>
      <c r="G33" s="979">
        <f>E33*F33</f>
        <v>62400</v>
      </c>
      <c r="H33" s="650"/>
    </row>
    <row r="34" spans="1:8" s="651" customFormat="1" x14ac:dyDescent="0.25">
      <c r="A34" s="1008"/>
      <c r="B34" s="976" t="s">
        <v>623</v>
      </c>
      <c r="C34" s="977"/>
      <c r="D34" s="977" t="s">
        <v>12</v>
      </c>
      <c r="E34" s="978">
        <v>0.02</v>
      </c>
      <c r="F34" s="1009">
        <f>'UPah &amp; Bahan oke'!H37</f>
        <v>20000</v>
      </c>
      <c r="G34" s="979">
        <f>E34*F34</f>
        <v>400</v>
      </c>
      <c r="H34" s="650"/>
    </row>
    <row r="35" spans="1:8" s="651" customFormat="1" x14ac:dyDescent="0.25">
      <c r="A35" s="991"/>
      <c r="B35" s="1003" t="s">
        <v>624</v>
      </c>
      <c r="C35" s="999"/>
      <c r="D35" s="999" t="s">
        <v>506</v>
      </c>
      <c r="E35" s="1000">
        <v>7.0000000000000001E-3</v>
      </c>
      <c r="F35" s="994">
        <f>'UPah &amp; Bahan oke'!H44</f>
        <v>5200000</v>
      </c>
      <c r="G35" s="995">
        <f>E35*F35</f>
        <v>36400</v>
      </c>
      <c r="H35" s="650"/>
    </row>
    <row r="36" spans="1:8" s="651" customFormat="1" x14ac:dyDescent="0.25">
      <c r="A36" s="984"/>
      <c r="B36" s="985"/>
      <c r="C36" s="986"/>
      <c r="D36" s="986"/>
      <c r="E36" s="987" t="s">
        <v>563</v>
      </c>
      <c r="F36" s="988"/>
      <c r="G36" s="989">
        <f>SUM(G33:G35)</f>
        <v>99200</v>
      </c>
      <c r="H36" s="650"/>
    </row>
    <row r="37" spans="1:8" s="651" customFormat="1" x14ac:dyDescent="0.25">
      <c r="A37" s="990" t="s">
        <v>560</v>
      </c>
      <c r="B37" s="990" t="s">
        <v>561</v>
      </c>
      <c r="C37" s="997"/>
      <c r="D37" s="997"/>
      <c r="E37" s="998"/>
      <c r="F37" s="995"/>
      <c r="G37" s="995"/>
      <c r="H37" s="650"/>
    </row>
    <row r="38" spans="1:8" s="651" customFormat="1" x14ac:dyDescent="0.25">
      <c r="A38" s="984"/>
      <c r="B38" s="985"/>
      <c r="C38" s="986"/>
      <c r="D38" s="986"/>
      <c r="E38" s="987" t="s">
        <v>562</v>
      </c>
      <c r="F38" s="988"/>
      <c r="G38" s="989"/>
      <c r="H38" s="650"/>
    </row>
    <row r="39" spans="1:8" s="651" customFormat="1" x14ac:dyDescent="0.25">
      <c r="A39" s="984" t="s">
        <v>564</v>
      </c>
      <c r="B39" s="984" t="s">
        <v>565</v>
      </c>
      <c r="C39" s="986"/>
      <c r="D39" s="986"/>
      <c r="E39" s="987"/>
      <c r="F39" s="1001"/>
      <c r="G39" s="989">
        <f>SUM(G31+G36)</f>
        <v>121160</v>
      </c>
      <c r="H39" s="650"/>
    </row>
    <row r="40" spans="1:8" s="651" customFormat="1" x14ac:dyDescent="0.25">
      <c r="A40" s="984" t="s">
        <v>566</v>
      </c>
      <c r="B40" s="984" t="s">
        <v>568</v>
      </c>
      <c r="C40" s="986"/>
      <c r="D40" s="986"/>
      <c r="E40" s="987"/>
      <c r="F40" s="1001"/>
      <c r="G40" s="989">
        <f>G39*0.15</f>
        <v>18174</v>
      </c>
      <c r="H40" s="650"/>
    </row>
    <row r="41" spans="1:8" s="651" customFormat="1" x14ac:dyDescent="0.25">
      <c r="A41" s="984" t="s">
        <v>567</v>
      </c>
      <c r="B41" s="984" t="s">
        <v>569</v>
      </c>
      <c r="C41" s="986"/>
      <c r="D41" s="986"/>
      <c r="E41" s="987"/>
      <c r="F41" s="1001"/>
      <c r="G41" s="1002">
        <f>SUM(G39:G40)</f>
        <v>139334</v>
      </c>
      <c r="H41" s="650"/>
    </row>
    <row r="42" spans="1:8" s="651" customFormat="1" x14ac:dyDescent="0.25">
      <c r="A42" s="984"/>
      <c r="B42" s="985" t="s">
        <v>912</v>
      </c>
      <c r="C42" s="986"/>
      <c r="D42" s="986"/>
      <c r="E42" s="987"/>
      <c r="F42" s="1001"/>
      <c r="G42" s="1002">
        <f>G41/6</f>
        <v>23222.333333333332</v>
      </c>
      <c r="H42" s="650"/>
    </row>
    <row r="43" spans="1:8" s="651" customFormat="1" x14ac:dyDescent="0.25">
      <c r="A43" s="963" t="s">
        <v>572</v>
      </c>
      <c r="B43" s="964"/>
      <c r="C43" s="963" t="s">
        <v>573</v>
      </c>
      <c r="D43" s="965"/>
      <c r="E43" s="966"/>
      <c r="F43" s="967"/>
      <c r="G43" s="967"/>
      <c r="H43" s="650"/>
    </row>
    <row r="44" spans="1:8" s="653" customFormat="1" ht="37.5" customHeight="1" x14ac:dyDescent="0.25">
      <c r="A44" s="968" t="s">
        <v>146</v>
      </c>
      <c r="B44" s="968" t="s">
        <v>550</v>
      </c>
      <c r="C44" s="969" t="s">
        <v>551</v>
      </c>
      <c r="D44" s="969" t="s">
        <v>552</v>
      </c>
      <c r="E44" s="970" t="s">
        <v>553</v>
      </c>
      <c r="F44" s="971" t="s">
        <v>554</v>
      </c>
      <c r="G44" s="971" t="s">
        <v>555</v>
      </c>
      <c r="H44" s="652"/>
    </row>
    <row r="45" spans="1:8" s="651" customFormat="1" x14ac:dyDescent="0.25">
      <c r="A45" s="972" t="s">
        <v>556</v>
      </c>
      <c r="B45" s="972" t="s">
        <v>15</v>
      </c>
      <c r="C45" s="973"/>
      <c r="D45" s="973"/>
      <c r="E45" s="974"/>
      <c r="F45" s="975"/>
      <c r="G45" s="975"/>
      <c r="H45" s="650"/>
    </row>
    <row r="46" spans="1:8" s="651" customFormat="1" x14ac:dyDescent="0.25">
      <c r="A46" s="976"/>
      <c r="B46" s="976" t="s">
        <v>17</v>
      </c>
      <c r="C46" s="977" t="s">
        <v>557</v>
      </c>
      <c r="D46" s="977" t="s">
        <v>242</v>
      </c>
      <c r="E46" s="978">
        <v>0.75</v>
      </c>
      <c r="F46" s="979">
        <f>'UPah &amp; Bahan oke'!H9</f>
        <v>110000</v>
      </c>
      <c r="G46" s="979">
        <f>E46*F46</f>
        <v>82500</v>
      </c>
      <c r="H46" s="650"/>
    </row>
    <row r="47" spans="1:8" s="651" customFormat="1" x14ac:dyDescent="0.25">
      <c r="A47" s="980"/>
      <c r="B47" s="980" t="s">
        <v>19</v>
      </c>
      <c r="C47" s="981" t="s">
        <v>558</v>
      </c>
      <c r="D47" s="981" t="s">
        <v>242</v>
      </c>
      <c r="E47" s="982">
        <v>2.5000000000000001E-2</v>
      </c>
      <c r="F47" s="983">
        <f>'UPah &amp; Bahan oke'!H12</f>
        <v>150000</v>
      </c>
      <c r="G47" s="983">
        <f>E47*F47</f>
        <v>3750</v>
      </c>
      <c r="H47" s="650"/>
    </row>
    <row r="48" spans="1:8" s="651" customFormat="1" x14ac:dyDescent="0.25">
      <c r="A48" s="984"/>
      <c r="B48" s="985"/>
      <c r="C48" s="986"/>
      <c r="D48" s="986"/>
      <c r="E48" s="987" t="s">
        <v>559</v>
      </c>
      <c r="F48" s="988"/>
      <c r="G48" s="989">
        <f>SUM(G46:G47)</f>
        <v>86250</v>
      </c>
      <c r="H48" s="650"/>
    </row>
    <row r="49" spans="1:8" s="651" customFormat="1" x14ac:dyDescent="0.25">
      <c r="A49" s="990" t="s">
        <v>1</v>
      </c>
      <c r="B49" s="990" t="s">
        <v>5</v>
      </c>
      <c r="C49" s="997"/>
      <c r="D49" s="997"/>
      <c r="E49" s="998"/>
      <c r="F49" s="995"/>
      <c r="G49" s="995"/>
      <c r="H49" s="650"/>
    </row>
    <row r="50" spans="1:8" s="651" customFormat="1" x14ac:dyDescent="0.25">
      <c r="A50" s="984"/>
      <c r="B50" s="985"/>
      <c r="C50" s="986"/>
      <c r="D50" s="986"/>
      <c r="E50" s="987" t="s">
        <v>563</v>
      </c>
      <c r="F50" s="988"/>
      <c r="G50" s="989"/>
      <c r="H50" s="650"/>
    </row>
    <row r="51" spans="1:8" s="651" customFormat="1" x14ac:dyDescent="0.25">
      <c r="A51" s="990" t="s">
        <v>560</v>
      </c>
      <c r="B51" s="990" t="s">
        <v>561</v>
      </c>
      <c r="C51" s="997"/>
      <c r="D51" s="997"/>
      <c r="E51" s="998"/>
      <c r="F51" s="995"/>
      <c r="G51" s="995"/>
      <c r="H51" s="650"/>
    </row>
    <row r="52" spans="1:8" s="651" customFormat="1" x14ac:dyDescent="0.25">
      <c r="A52" s="984"/>
      <c r="B52" s="985"/>
      <c r="C52" s="986"/>
      <c r="D52" s="986"/>
      <c r="E52" s="987" t="s">
        <v>562</v>
      </c>
      <c r="F52" s="988"/>
      <c r="G52" s="989"/>
      <c r="H52" s="650"/>
    </row>
    <row r="53" spans="1:8" s="651" customFormat="1" x14ac:dyDescent="0.25">
      <c r="A53" s="984" t="s">
        <v>564</v>
      </c>
      <c r="B53" s="984" t="s">
        <v>565</v>
      </c>
      <c r="C53" s="986"/>
      <c r="D53" s="986"/>
      <c r="E53" s="987"/>
      <c r="F53" s="1001"/>
      <c r="G53" s="989">
        <f>SUM(G48)</f>
        <v>86250</v>
      </c>
      <c r="H53" s="650"/>
    </row>
    <row r="54" spans="1:8" s="651" customFormat="1" x14ac:dyDescent="0.25">
      <c r="A54" s="984" t="s">
        <v>566</v>
      </c>
      <c r="B54" s="984" t="s">
        <v>568</v>
      </c>
      <c r="C54" s="986"/>
      <c r="D54" s="986"/>
      <c r="E54" s="987"/>
      <c r="F54" s="1001"/>
      <c r="G54" s="989">
        <f>G53*0.15</f>
        <v>12937.5</v>
      </c>
      <c r="H54" s="650"/>
    </row>
    <row r="55" spans="1:8" s="651" customFormat="1" x14ac:dyDescent="0.25">
      <c r="A55" s="984" t="s">
        <v>567</v>
      </c>
      <c r="B55" s="984" t="s">
        <v>569</v>
      </c>
      <c r="C55" s="986"/>
      <c r="D55" s="986"/>
      <c r="E55" s="987"/>
      <c r="F55" s="1001"/>
      <c r="G55" s="1002">
        <f>SUM(G53:G54)</f>
        <v>99187.5</v>
      </c>
      <c r="H55" s="650"/>
    </row>
    <row r="56" spans="1:8" s="651" customFormat="1" x14ac:dyDescent="0.25">
      <c r="A56" s="963" t="s">
        <v>570</v>
      </c>
      <c r="B56" s="964"/>
      <c r="C56" s="963" t="s">
        <v>571</v>
      </c>
      <c r="D56" s="965"/>
      <c r="E56" s="966"/>
      <c r="F56" s="967"/>
      <c r="G56" s="967"/>
      <c r="H56" s="650"/>
    </row>
    <row r="57" spans="1:8" s="651" customFormat="1" x14ac:dyDescent="0.25">
      <c r="A57" s="968" t="s">
        <v>146</v>
      </c>
      <c r="B57" s="968" t="s">
        <v>550</v>
      </c>
      <c r="C57" s="969" t="s">
        <v>551</v>
      </c>
      <c r="D57" s="969" t="s">
        <v>552</v>
      </c>
      <c r="E57" s="970" t="s">
        <v>553</v>
      </c>
      <c r="F57" s="971" t="s">
        <v>554</v>
      </c>
      <c r="G57" s="971" t="s">
        <v>555</v>
      </c>
      <c r="H57" s="650"/>
    </row>
    <row r="58" spans="1:8" s="651" customFormat="1" x14ac:dyDescent="0.25">
      <c r="A58" s="972" t="s">
        <v>556</v>
      </c>
      <c r="B58" s="972" t="s">
        <v>15</v>
      </c>
      <c r="C58" s="973"/>
      <c r="D58" s="973"/>
      <c r="E58" s="974"/>
      <c r="F58" s="975"/>
      <c r="G58" s="975"/>
      <c r="H58" s="650"/>
    </row>
    <row r="59" spans="1:8" s="651" customFormat="1" x14ac:dyDescent="0.25">
      <c r="A59" s="976"/>
      <c r="B59" s="976" t="s">
        <v>17</v>
      </c>
      <c r="C59" s="977" t="s">
        <v>557</v>
      </c>
      <c r="D59" s="977" t="s">
        <v>242</v>
      </c>
      <c r="E59" s="978">
        <v>0.5</v>
      </c>
      <c r="F59" s="979">
        <f>'UPah &amp; Bahan oke'!H9</f>
        <v>110000</v>
      </c>
      <c r="G59" s="979">
        <f>E59*F59</f>
        <v>55000</v>
      </c>
      <c r="H59" s="650"/>
    </row>
    <row r="60" spans="1:8" s="651" customFormat="1" x14ac:dyDescent="0.25">
      <c r="A60" s="980"/>
      <c r="B60" s="980" t="s">
        <v>19</v>
      </c>
      <c r="C60" s="981" t="s">
        <v>558</v>
      </c>
      <c r="D60" s="981" t="s">
        <v>242</v>
      </c>
      <c r="E60" s="982">
        <v>0.05</v>
      </c>
      <c r="F60" s="983">
        <f>'UPah &amp; Bahan oke'!H12</f>
        <v>150000</v>
      </c>
      <c r="G60" s="983">
        <f>E60*F60</f>
        <v>7500</v>
      </c>
      <c r="H60" s="650"/>
    </row>
    <row r="61" spans="1:8" s="651" customFormat="1" x14ac:dyDescent="0.25">
      <c r="A61" s="984"/>
      <c r="B61" s="985"/>
      <c r="C61" s="986"/>
      <c r="D61" s="986"/>
      <c r="E61" s="987" t="s">
        <v>559</v>
      </c>
      <c r="F61" s="988"/>
      <c r="G61" s="989">
        <f>SUM(G59:G60)</f>
        <v>62500</v>
      </c>
      <c r="H61" s="650"/>
    </row>
    <row r="62" spans="1:8" s="651" customFormat="1" x14ac:dyDescent="0.25">
      <c r="A62" s="990" t="s">
        <v>1</v>
      </c>
      <c r="B62" s="990" t="s">
        <v>5</v>
      </c>
      <c r="C62" s="997"/>
      <c r="D62" s="997"/>
      <c r="E62" s="998"/>
      <c r="F62" s="995"/>
      <c r="G62" s="995"/>
      <c r="H62" s="650"/>
    </row>
    <row r="63" spans="1:8" s="651" customFormat="1" x14ac:dyDescent="0.25">
      <c r="A63" s="984"/>
      <c r="B63" s="985"/>
      <c r="C63" s="986"/>
      <c r="D63" s="986"/>
      <c r="E63" s="987" t="s">
        <v>563</v>
      </c>
      <c r="F63" s="988"/>
      <c r="G63" s="989"/>
      <c r="H63" s="650"/>
    </row>
    <row r="64" spans="1:8" s="651" customFormat="1" x14ac:dyDescent="0.25">
      <c r="A64" s="990" t="s">
        <v>560</v>
      </c>
      <c r="B64" s="990" t="s">
        <v>561</v>
      </c>
      <c r="C64" s="997"/>
      <c r="D64" s="997"/>
      <c r="E64" s="998"/>
      <c r="F64" s="995"/>
      <c r="G64" s="995"/>
      <c r="H64" s="650"/>
    </row>
    <row r="65" spans="1:8" s="651" customFormat="1" x14ac:dyDescent="0.25">
      <c r="A65" s="984"/>
      <c r="B65" s="985"/>
      <c r="C65" s="986"/>
      <c r="D65" s="986"/>
      <c r="E65" s="987" t="s">
        <v>562</v>
      </c>
      <c r="F65" s="988"/>
      <c r="G65" s="989"/>
      <c r="H65" s="650"/>
    </row>
    <row r="66" spans="1:8" s="651" customFormat="1" x14ac:dyDescent="0.25">
      <c r="A66" s="984" t="s">
        <v>564</v>
      </c>
      <c r="B66" s="984" t="s">
        <v>565</v>
      </c>
      <c r="C66" s="986"/>
      <c r="D66" s="986"/>
      <c r="E66" s="987"/>
      <c r="F66" s="1001"/>
      <c r="G66" s="989">
        <f>SUM(G61)</f>
        <v>62500</v>
      </c>
      <c r="H66" s="650"/>
    </row>
    <row r="67" spans="1:8" s="651" customFormat="1" x14ac:dyDescent="0.25">
      <c r="A67" s="984" t="s">
        <v>566</v>
      </c>
      <c r="B67" s="984" t="s">
        <v>568</v>
      </c>
      <c r="C67" s="986"/>
      <c r="D67" s="986"/>
      <c r="E67" s="987"/>
      <c r="F67" s="1001"/>
      <c r="G67" s="989">
        <f>G66*0.15</f>
        <v>9375</v>
      </c>
      <c r="H67" s="650"/>
    </row>
    <row r="68" spans="1:8" s="651" customFormat="1" x14ac:dyDescent="0.25">
      <c r="A68" s="984" t="s">
        <v>567</v>
      </c>
      <c r="B68" s="984" t="s">
        <v>569</v>
      </c>
      <c r="C68" s="986"/>
      <c r="D68" s="986"/>
      <c r="E68" s="987"/>
      <c r="F68" s="1001"/>
      <c r="G68" s="1002">
        <f>SUM(G66:G67)</f>
        <v>71875</v>
      </c>
      <c r="H68" s="650"/>
    </row>
    <row r="69" spans="1:8" s="651" customFormat="1" x14ac:dyDescent="0.25">
      <c r="A69" s="963" t="s">
        <v>574</v>
      </c>
      <c r="B69" s="964"/>
      <c r="C69" s="963" t="s">
        <v>575</v>
      </c>
      <c r="D69" s="965"/>
      <c r="E69" s="966"/>
      <c r="F69" s="967"/>
      <c r="G69" s="967"/>
      <c r="H69" s="650"/>
    </row>
    <row r="70" spans="1:8" s="651" customFormat="1" x14ac:dyDescent="0.25">
      <c r="A70" s="968" t="s">
        <v>146</v>
      </c>
      <c r="B70" s="968" t="s">
        <v>550</v>
      </c>
      <c r="C70" s="969" t="s">
        <v>551</v>
      </c>
      <c r="D70" s="969" t="s">
        <v>552</v>
      </c>
      <c r="E70" s="970" t="s">
        <v>553</v>
      </c>
      <c r="F70" s="971" t="s">
        <v>554</v>
      </c>
      <c r="G70" s="971" t="s">
        <v>555</v>
      </c>
      <c r="H70" s="650"/>
    </row>
    <row r="71" spans="1:8" s="651" customFormat="1" x14ac:dyDescent="0.25">
      <c r="A71" s="972" t="s">
        <v>556</v>
      </c>
      <c r="B71" s="972" t="s">
        <v>15</v>
      </c>
      <c r="C71" s="973"/>
      <c r="D71" s="973"/>
      <c r="E71" s="974"/>
      <c r="F71" s="975"/>
      <c r="G71" s="975"/>
      <c r="H71" s="650"/>
    </row>
    <row r="72" spans="1:8" s="651" customFormat="1" x14ac:dyDescent="0.25">
      <c r="A72" s="976"/>
      <c r="B72" s="976" t="s">
        <v>17</v>
      </c>
      <c r="C72" s="977" t="s">
        <v>557</v>
      </c>
      <c r="D72" s="977" t="s">
        <v>242</v>
      </c>
      <c r="E72" s="978">
        <v>0.3</v>
      </c>
      <c r="F72" s="979">
        <f>F59</f>
        <v>110000</v>
      </c>
      <c r="G72" s="979">
        <f>E72*F72</f>
        <v>33000</v>
      </c>
      <c r="H72" s="650"/>
    </row>
    <row r="73" spans="1:8" s="651" customFormat="1" x14ac:dyDescent="0.25">
      <c r="A73" s="980"/>
      <c r="B73" s="980" t="s">
        <v>19</v>
      </c>
      <c r="C73" s="981" t="s">
        <v>558</v>
      </c>
      <c r="D73" s="981" t="s">
        <v>242</v>
      </c>
      <c r="E73" s="982">
        <v>0.01</v>
      </c>
      <c r="F73" s="983">
        <f>F60</f>
        <v>150000</v>
      </c>
      <c r="G73" s="983">
        <f>E73*F73</f>
        <v>1500</v>
      </c>
      <c r="H73" s="650"/>
    </row>
    <row r="74" spans="1:8" s="651" customFormat="1" x14ac:dyDescent="0.25">
      <c r="A74" s="984"/>
      <c r="B74" s="985"/>
      <c r="C74" s="986"/>
      <c r="D74" s="986"/>
      <c r="E74" s="987" t="s">
        <v>559</v>
      </c>
      <c r="F74" s="988"/>
      <c r="G74" s="989">
        <f>SUM(G72:G73)</f>
        <v>34500</v>
      </c>
      <c r="H74" s="650"/>
    </row>
    <row r="75" spans="1:8" s="651" customFormat="1" x14ac:dyDescent="0.25">
      <c r="A75" s="972" t="s">
        <v>1</v>
      </c>
      <c r="B75" s="972" t="s">
        <v>5</v>
      </c>
      <c r="C75" s="973"/>
      <c r="D75" s="973"/>
      <c r="E75" s="974"/>
      <c r="F75" s="975"/>
      <c r="G75" s="975"/>
      <c r="H75" s="650"/>
    </row>
    <row r="76" spans="1:8" s="651" customFormat="1" x14ac:dyDescent="0.25">
      <c r="A76" s="991"/>
      <c r="B76" s="1003" t="s">
        <v>576</v>
      </c>
      <c r="C76" s="999"/>
      <c r="D76" s="999" t="s">
        <v>7</v>
      </c>
      <c r="E76" s="1000">
        <v>1.2</v>
      </c>
      <c r="F76" s="994">
        <f>'UPah &amp; Bahan oke'!H17</f>
        <v>80000</v>
      </c>
      <c r="G76" s="995">
        <f>E76*F76</f>
        <v>96000</v>
      </c>
      <c r="H76" s="650"/>
    </row>
    <row r="77" spans="1:8" s="651" customFormat="1" x14ac:dyDescent="0.25">
      <c r="A77" s="984"/>
      <c r="B77" s="985"/>
      <c r="C77" s="986"/>
      <c r="D77" s="986"/>
      <c r="E77" s="987" t="s">
        <v>563</v>
      </c>
      <c r="F77" s="988"/>
      <c r="G77" s="989">
        <f>G76</f>
        <v>96000</v>
      </c>
      <c r="H77" s="650"/>
    </row>
    <row r="78" spans="1:8" s="651" customFormat="1" x14ac:dyDescent="0.25">
      <c r="A78" s="990" t="s">
        <v>560</v>
      </c>
      <c r="B78" s="990" t="s">
        <v>561</v>
      </c>
      <c r="C78" s="997"/>
      <c r="D78" s="997"/>
      <c r="E78" s="998"/>
      <c r="F78" s="995"/>
      <c r="G78" s="995"/>
      <c r="H78" s="650"/>
    </row>
    <row r="79" spans="1:8" s="651" customFormat="1" x14ac:dyDescent="0.25">
      <c r="A79" s="984"/>
      <c r="B79" s="985"/>
      <c r="C79" s="986"/>
      <c r="D79" s="986"/>
      <c r="E79" s="987" t="s">
        <v>562</v>
      </c>
      <c r="F79" s="988"/>
      <c r="G79" s="989"/>
      <c r="H79" s="650"/>
    </row>
    <row r="80" spans="1:8" s="651" customFormat="1" x14ac:dyDescent="0.25">
      <c r="A80" s="984" t="s">
        <v>564</v>
      </c>
      <c r="B80" s="984" t="s">
        <v>565</v>
      </c>
      <c r="C80" s="986"/>
      <c r="D80" s="986"/>
      <c r="E80" s="987"/>
      <c r="F80" s="1001"/>
      <c r="G80" s="989">
        <f>G74+G77</f>
        <v>130500</v>
      </c>
      <c r="H80" s="650"/>
    </row>
    <row r="81" spans="1:8" s="651" customFormat="1" x14ac:dyDescent="0.25">
      <c r="A81" s="984" t="s">
        <v>566</v>
      </c>
      <c r="B81" s="984" t="s">
        <v>568</v>
      </c>
      <c r="C81" s="986"/>
      <c r="D81" s="986"/>
      <c r="E81" s="987"/>
      <c r="F81" s="1001"/>
      <c r="G81" s="989">
        <f>G80*0.15</f>
        <v>19575</v>
      </c>
      <c r="H81" s="650"/>
    </row>
    <row r="82" spans="1:8" s="651" customFormat="1" x14ac:dyDescent="0.25">
      <c r="A82" s="984" t="s">
        <v>567</v>
      </c>
      <c r="B82" s="984" t="s">
        <v>569</v>
      </c>
      <c r="C82" s="986"/>
      <c r="D82" s="986"/>
      <c r="E82" s="987"/>
      <c r="F82" s="1001"/>
      <c r="G82" s="1002">
        <f>SUM(G80:G81)</f>
        <v>150075</v>
      </c>
      <c r="H82" s="650"/>
    </row>
    <row r="83" spans="1:8" s="651" customFormat="1" x14ac:dyDescent="0.25">
      <c r="A83" s="963" t="s">
        <v>577</v>
      </c>
      <c r="B83" s="964"/>
      <c r="C83" s="963" t="s">
        <v>578</v>
      </c>
      <c r="D83" s="965"/>
      <c r="E83" s="966"/>
      <c r="F83" s="967"/>
      <c r="G83" s="967"/>
      <c r="H83" s="650"/>
    </row>
    <row r="84" spans="1:8" s="651" customFormat="1" x14ac:dyDescent="0.25">
      <c r="A84" s="968" t="s">
        <v>146</v>
      </c>
      <c r="B84" s="968" t="s">
        <v>550</v>
      </c>
      <c r="C84" s="969" t="s">
        <v>551</v>
      </c>
      <c r="D84" s="969" t="s">
        <v>552</v>
      </c>
      <c r="E84" s="970" t="s">
        <v>553</v>
      </c>
      <c r="F84" s="971" t="s">
        <v>554</v>
      </c>
      <c r="G84" s="971" t="s">
        <v>555</v>
      </c>
      <c r="H84" s="650"/>
    </row>
    <row r="85" spans="1:8" s="651" customFormat="1" x14ac:dyDescent="0.25">
      <c r="A85" s="972" t="s">
        <v>556</v>
      </c>
      <c r="B85" s="972" t="s">
        <v>15</v>
      </c>
      <c r="C85" s="973"/>
      <c r="D85" s="973"/>
      <c r="E85" s="974"/>
      <c r="F85" s="975"/>
      <c r="G85" s="975"/>
      <c r="H85" s="650"/>
    </row>
    <row r="86" spans="1:8" s="651" customFormat="1" x14ac:dyDescent="0.25">
      <c r="A86" s="976"/>
      <c r="B86" s="976" t="s">
        <v>17</v>
      </c>
      <c r="C86" s="977" t="s">
        <v>557</v>
      </c>
      <c r="D86" s="977" t="s">
        <v>242</v>
      </c>
      <c r="E86" s="978">
        <v>0.25</v>
      </c>
      <c r="F86" s="979">
        <f>F72</f>
        <v>110000</v>
      </c>
      <c r="G86" s="979">
        <f>E86*F86</f>
        <v>27500</v>
      </c>
      <c r="H86" s="650"/>
    </row>
    <row r="87" spans="1:8" s="651" customFormat="1" x14ac:dyDescent="0.25">
      <c r="A87" s="980"/>
      <c r="B87" s="980" t="s">
        <v>19</v>
      </c>
      <c r="C87" s="981" t="s">
        <v>558</v>
      </c>
      <c r="D87" s="981" t="s">
        <v>242</v>
      </c>
      <c r="E87" s="982">
        <v>2.5000000000000001E-2</v>
      </c>
      <c r="F87" s="983">
        <f>F73</f>
        <v>150000</v>
      </c>
      <c r="G87" s="983">
        <f>E87*F87</f>
        <v>3750</v>
      </c>
      <c r="H87" s="650"/>
    </row>
    <row r="88" spans="1:8" s="651" customFormat="1" x14ac:dyDescent="0.25">
      <c r="A88" s="984"/>
      <c r="B88" s="985"/>
      <c r="C88" s="986"/>
      <c r="D88" s="986"/>
      <c r="E88" s="987" t="s">
        <v>559</v>
      </c>
      <c r="F88" s="988"/>
      <c r="G88" s="989">
        <f>SUM(G86:G87)</f>
        <v>31250</v>
      </c>
      <c r="H88" s="650"/>
    </row>
    <row r="89" spans="1:8" s="651" customFormat="1" x14ac:dyDescent="0.25">
      <c r="A89" s="972" t="s">
        <v>1</v>
      </c>
      <c r="B89" s="972" t="s">
        <v>5</v>
      </c>
      <c r="C89" s="973"/>
      <c r="D89" s="973"/>
      <c r="E89" s="974"/>
      <c r="F89" s="975"/>
      <c r="G89" s="975"/>
      <c r="H89" s="650"/>
    </row>
    <row r="90" spans="1:8" s="651" customFormat="1" x14ac:dyDescent="0.25">
      <c r="A90" s="991"/>
      <c r="B90" s="1003" t="s">
        <v>159</v>
      </c>
      <c r="C90" s="999"/>
      <c r="D90" s="999" t="s">
        <v>7</v>
      </c>
      <c r="E90" s="1000">
        <v>1.2</v>
      </c>
      <c r="F90" s="994">
        <f>'UPah &amp; Bahan oke'!H30</f>
        <v>100000</v>
      </c>
      <c r="G90" s="995">
        <f>E90*F90</f>
        <v>120000</v>
      </c>
      <c r="H90" s="650"/>
    </row>
    <row r="91" spans="1:8" s="651" customFormat="1" x14ac:dyDescent="0.25">
      <c r="A91" s="984"/>
      <c r="B91" s="985"/>
      <c r="C91" s="986"/>
      <c r="D91" s="986"/>
      <c r="E91" s="987" t="s">
        <v>563</v>
      </c>
      <c r="F91" s="988"/>
      <c r="G91" s="989">
        <f>G90</f>
        <v>120000</v>
      </c>
      <c r="H91" s="650"/>
    </row>
    <row r="92" spans="1:8" s="651" customFormat="1" x14ac:dyDescent="0.25">
      <c r="A92" s="990" t="s">
        <v>560</v>
      </c>
      <c r="B92" s="990" t="s">
        <v>561</v>
      </c>
      <c r="C92" s="997"/>
      <c r="D92" s="997"/>
      <c r="E92" s="998"/>
      <c r="F92" s="995"/>
      <c r="G92" s="995"/>
      <c r="H92" s="650"/>
    </row>
    <row r="93" spans="1:8" s="651" customFormat="1" x14ac:dyDescent="0.25">
      <c r="A93" s="984"/>
      <c r="B93" s="985"/>
      <c r="C93" s="986"/>
      <c r="D93" s="986"/>
      <c r="E93" s="987" t="s">
        <v>562</v>
      </c>
      <c r="F93" s="988"/>
      <c r="G93" s="989"/>
      <c r="H93" s="650"/>
    </row>
    <row r="94" spans="1:8" s="651" customFormat="1" x14ac:dyDescent="0.25">
      <c r="A94" s="984" t="s">
        <v>564</v>
      </c>
      <c r="B94" s="984" t="s">
        <v>565</v>
      </c>
      <c r="C94" s="986"/>
      <c r="D94" s="986"/>
      <c r="E94" s="987"/>
      <c r="F94" s="1001"/>
      <c r="G94" s="989">
        <f>G88+G91</f>
        <v>151250</v>
      </c>
      <c r="H94" s="650"/>
    </row>
    <row r="95" spans="1:8" s="651" customFormat="1" x14ac:dyDescent="0.25">
      <c r="A95" s="984" t="s">
        <v>566</v>
      </c>
      <c r="B95" s="984" t="s">
        <v>568</v>
      </c>
      <c r="C95" s="986"/>
      <c r="D95" s="986"/>
      <c r="E95" s="987"/>
      <c r="F95" s="1001"/>
      <c r="G95" s="989">
        <f>G94*0.15</f>
        <v>22687.5</v>
      </c>
      <c r="H95" s="650"/>
    </row>
    <row r="96" spans="1:8" s="651" customFormat="1" x14ac:dyDescent="0.25">
      <c r="A96" s="984" t="s">
        <v>567</v>
      </c>
      <c r="B96" s="984" t="s">
        <v>569</v>
      </c>
      <c r="C96" s="986"/>
      <c r="D96" s="986"/>
      <c r="E96" s="987"/>
      <c r="F96" s="1001"/>
      <c r="G96" s="1002">
        <f>SUM(G94:G95)</f>
        <v>173937.5</v>
      </c>
      <c r="H96" s="650"/>
    </row>
    <row r="97" spans="1:8" s="651" customFormat="1" x14ac:dyDescent="0.25">
      <c r="A97" s="963" t="s">
        <v>579</v>
      </c>
      <c r="B97" s="964"/>
      <c r="C97" s="963" t="s">
        <v>580</v>
      </c>
      <c r="D97" s="965"/>
      <c r="E97" s="966"/>
      <c r="F97" s="967"/>
      <c r="G97" s="967"/>
      <c r="H97" s="650"/>
    </row>
    <row r="98" spans="1:8" s="651" customFormat="1" x14ac:dyDescent="0.25">
      <c r="A98" s="968" t="s">
        <v>146</v>
      </c>
      <c r="B98" s="968" t="s">
        <v>550</v>
      </c>
      <c r="C98" s="969" t="s">
        <v>551</v>
      </c>
      <c r="D98" s="969" t="s">
        <v>552</v>
      </c>
      <c r="E98" s="970" t="s">
        <v>553</v>
      </c>
      <c r="F98" s="971" t="s">
        <v>554</v>
      </c>
      <c r="G98" s="971" t="s">
        <v>555</v>
      </c>
      <c r="H98" s="650"/>
    </row>
    <row r="99" spans="1:8" s="651" customFormat="1" x14ac:dyDescent="0.25">
      <c r="A99" s="972" t="s">
        <v>556</v>
      </c>
      <c r="B99" s="972" t="s">
        <v>15</v>
      </c>
      <c r="C99" s="973"/>
      <c r="D99" s="973"/>
      <c r="E99" s="974"/>
      <c r="F99" s="975"/>
      <c r="G99" s="975"/>
      <c r="H99" s="650"/>
    </row>
    <row r="100" spans="1:8" s="651" customFormat="1" x14ac:dyDescent="0.25">
      <c r="A100" s="976"/>
      <c r="B100" s="976" t="s">
        <v>17</v>
      </c>
      <c r="C100" s="977" t="s">
        <v>557</v>
      </c>
      <c r="D100" s="977" t="s">
        <v>242</v>
      </c>
      <c r="E100" s="978">
        <v>1.5</v>
      </c>
      <c r="F100" s="979">
        <f>'UPah &amp; Bahan oke'!H9</f>
        <v>110000</v>
      </c>
      <c r="G100" s="979">
        <f>E100*F100</f>
        <v>165000</v>
      </c>
      <c r="H100" s="650"/>
    </row>
    <row r="101" spans="1:8" s="651" customFormat="1" x14ac:dyDescent="0.25">
      <c r="A101" s="980"/>
      <c r="B101" s="980" t="s">
        <v>51</v>
      </c>
      <c r="C101" s="981" t="s">
        <v>581</v>
      </c>
      <c r="D101" s="981" t="s">
        <v>242</v>
      </c>
      <c r="E101" s="982">
        <v>0.75</v>
      </c>
      <c r="F101" s="983">
        <f>'UPah &amp; Bahan oke'!H10</f>
        <v>153000</v>
      </c>
      <c r="G101" s="979">
        <f>E101*F101</f>
        <v>114750</v>
      </c>
      <c r="H101" s="650"/>
    </row>
    <row r="102" spans="1:8" s="651" customFormat="1" x14ac:dyDescent="0.25">
      <c r="A102" s="980"/>
      <c r="B102" s="980" t="s">
        <v>18</v>
      </c>
      <c r="C102" s="981" t="s">
        <v>582</v>
      </c>
      <c r="D102" s="981" t="s">
        <v>242</v>
      </c>
      <c r="E102" s="982">
        <v>7.4999999999999997E-2</v>
      </c>
      <c r="F102" s="983">
        <f>'UPah &amp; Bahan oke'!H11</f>
        <v>170000</v>
      </c>
      <c r="G102" s="979">
        <f>E102*F102</f>
        <v>12750</v>
      </c>
      <c r="H102" s="650"/>
    </row>
    <row r="103" spans="1:8" s="651" customFormat="1" x14ac:dyDescent="0.25">
      <c r="A103" s="980"/>
      <c r="B103" s="980" t="s">
        <v>19</v>
      </c>
      <c r="C103" s="981" t="s">
        <v>558</v>
      </c>
      <c r="D103" s="981" t="s">
        <v>242</v>
      </c>
      <c r="E103" s="982">
        <v>7.4999999999999997E-2</v>
      </c>
      <c r="F103" s="983">
        <f>'UPah &amp; Bahan oke'!H12</f>
        <v>150000</v>
      </c>
      <c r="G103" s="979">
        <f>E103*F103</f>
        <v>11250</v>
      </c>
      <c r="H103" s="650"/>
    </row>
    <row r="104" spans="1:8" s="651" customFormat="1" x14ac:dyDescent="0.25">
      <c r="A104" s="984"/>
      <c r="B104" s="985"/>
      <c r="C104" s="986"/>
      <c r="D104" s="986"/>
      <c r="E104" s="987" t="s">
        <v>559</v>
      </c>
      <c r="F104" s="988"/>
      <c r="G104" s="989">
        <f>SUM(G100:G103)</f>
        <v>303750</v>
      </c>
      <c r="H104" s="650"/>
    </row>
    <row r="105" spans="1:8" s="651" customFormat="1" x14ac:dyDescent="0.25">
      <c r="A105" s="972" t="s">
        <v>1</v>
      </c>
      <c r="B105" s="972" t="s">
        <v>5</v>
      </c>
      <c r="C105" s="973"/>
      <c r="D105" s="973"/>
      <c r="E105" s="974"/>
      <c r="F105" s="975"/>
      <c r="G105" s="975"/>
      <c r="H105" s="650"/>
    </row>
    <row r="106" spans="1:8" s="651" customFormat="1" x14ac:dyDescent="0.25">
      <c r="A106" s="991"/>
      <c r="B106" s="990" t="s">
        <v>583</v>
      </c>
      <c r="C106" s="997"/>
      <c r="D106" s="997" t="s">
        <v>506</v>
      </c>
      <c r="E106" s="998">
        <v>1.2</v>
      </c>
      <c r="F106" s="994">
        <f>'UPah &amp; Bahan oke'!H24</f>
        <v>300000</v>
      </c>
      <c r="G106" s="995">
        <f>E106*F106</f>
        <v>360000</v>
      </c>
      <c r="H106" s="650"/>
    </row>
    <row r="107" spans="1:8" s="651" customFormat="1" x14ac:dyDescent="0.25">
      <c r="A107" s="991"/>
      <c r="B107" s="990" t="s">
        <v>391</v>
      </c>
      <c r="C107" s="997"/>
      <c r="D107" s="997" t="s">
        <v>12</v>
      </c>
      <c r="E107" s="998">
        <v>163</v>
      </c>
      <c r="F107" s="994">
        <f>'UPah &amp; Bahan oke'!H29</f>
        <v>1687.5</v>
      </c>
      <c r="G107" s="995">
        <f>E107*F107</f>
        <v>275062.5</v>
      </c>
      <c r="H107" s="650"/>
    </row>
    <row r="108" spans="1:8" s="651" customFormat="1" x14ac:dyDescent="0.25">
      <c r="A108" s="991"/>
      <c r="B108" s="1003" t="s">
        <v>49</v>
      </c>
      <c r="C108" s="999"/>
      <c r="D108" s="999" t="s">
        <v>506</v>
      </c>
      <c r="E108" s="1000">
        <v>0.52</v>
      </c>
      <c r="F108" s="994">
        <f>'UPah &amp; Bahan oke'!H18</f>
        <v>185000</v>
      </c>
      <c r="G108" s="995">
        <f>E108*F108</f>
        <v>96200</v>
      </c>
      <c r="H108" s="650"/>
    </row>
    <row r="109" spans="1:8" s="651" customFormat="1" x14ac:dyDescent="0.25">
      <c r="A109" s="984"/>
      <c r="B109" s="985"/>
      <c r="C109" s="986"/>
      <c r="D109" s="986"/>
      <c r="E109" s="987" t="s">
        <v>563</v>
      </c>
      <c r="F109" s="988"/>
      <c r="G109" s="989">
        <f>SUM(G106:G108)</f>
        <v>731262.5</v>
      </c>
      <c r="H109" s="650"/>
    </row>
    <row r="110" spans="1:8" s="651" customFormat="1" x14ac:dyDescent="0.25">
      <c r="A110" s="990" t="s">
        <v>560</v>
      </c>
      <c r="B110" s="990" t="s">
        <v>561</v>
      </c>
      <c r="C110" s="997"/>
      <c r="D110" s="997"/>
      <c r="E110" s="998"/>
      <c r="F110" s="995"/>
      <c r="G110" s="995"/>
      <c r="H110" s="650"/>
    </row>
    <row r="111" spans="1:8" s="651" customFormat="1" x14ac:dyDescent="0.25">
      <c r="A111" s="984"/>
      <c r="B111" s="985"/>
      <c r="C111" s="986"/>
      <c r="D111" s="986"/>
      <c r="E111" s="987" t="s">
        <v>562</v>
      </c>
      <c r="F111" s="988"/>
      <c r="G111" s="989"/>
      <c r="H111" s="650"/>
    </row>
    <row r="112" spans="1:8" s="651" customFormat="1" x14ac:dyDescent="0.25">
      <c r="A112" s="984" t="s">
        <v>564</v>
      </c>
      <c r="B112" s="984" t="s">
        <v>565</v>
      </c>
      <c r="C112" s="986"/>
      <c r="D112" s="986"/>
      <c r="E112" s="987"/>
      <c r="F112" s="1001"/>
      <c r="G112" s="989">
        <f>G104+G109</f>
        <v>1035012.5</v>
      </c>
      <c r="H112" s="650"/>
    </row>
    <row r="113" spans="1:8" s="651" customFormat="1" x14ac:dyDescent="0.25">
      <c r="A113" s="984" t="s">
        <v>566</v>
      </c>
      <c r="B113" s="984" t="s">
        <v>568</v>
      </c>
      <c r="C113" s="986"/>
      <c r="D113" s="986"/>
      <c r="E113" s="987"/>
      <c r="F113" s="1001"/>
      <c r="G113" s="989">
        <f>G112*0.15</f>
        <v>155251.875</v>
      </c>
      <c r="H113" s="650"/>
    </row>
    <row r="114" spans="1:8" s="651" customFormat="1" x14ac:dyDescent="0.25">
      <c r="A114" s="984" t="s">
        <v>567</v>
      </c>
      <c r="B114" s="984" t="s">
        <v>569</v>
      </c>
      <c r="C114" s="986"/>
      <c r="D114" s="986"/>
      <c r="E114" s="987"/>
      <c r="F114" s="1001"/>
      <c r="G114" s="1002">
        <f>SUM(G112:G113)</f>
        <v>1190264.375</v>
      </c>
      <c r="H114" s="650"/>
    </row>
    <row r="115" spans="1:8" x14ac:dyDescent="0.25">
      <c r="A115" s="963" t="s">
        <v>584</v>
      </c>
      <c r="B115" s="964"/>
      <c r="C115" s="963" t="s">
        <v>585</v>
      </c>
      <c r="D115" s="965"/>
      <c r="E115" s="966"/>
      <c r="F115" s="967"/>
      <c r="G115" s="967"/>
    </row>
    <row r="116" spans="1:8" x14ac:dyDescent="0.25">
      <c r="A116" s="968" t="s">
        <v>146</v>
      </c>
      <c r="B116" s="968" t="s">
        <v>550</v>
      </c>
      <c r="C116" s="969" t="s">
        <v>551</v>
      </c>
      <c r="D116" s="969" t="s">
        <v>552</v>
      </c>
      <c r="E116" s="970" t="s">
        <v>553</v>
      </c>
      <c r="F116" s="971" t="s">
        <v>554</v>
      </c>
      <c r="G116" s="971" t="s">
        <v>555</v>
      </c>
    </row>
    <row r="117" spans="1:8" x14ac:dyDescent="0.25">
      <c r="A117" s="972" t="s">
        <v>556</v>
      </c>
      <c r="B117" s="972" t="s">
        <v>15</v>
      </c>
      <c r="C117" s="973"/>
      <c r="D117" s="973"/>
      <c r="E117" s="974"/>
      <c r="F117" s="975"/>
      <c r="G117" s="975"/>
    </row>
    <row r="118" spans="1:8" x14ac:dyDescent="0.25">
      <c r="A118" s="976"/>
      <c r="B118" s="976" t="s">
        <v>17</v>
      </c>
      <c r="C118" s="977" t="s">
        <v>557</v>
      </c>
      <c r="D118" s="977" t="s">
        <v>242</v>
      </c>
      <c r="E118" s="978">
        <v>0.78</v>
      </c>
      <c r="F118" s="979">
        <f>F100</f>
        <v>110000</v>
      </c>
      <c r="G118" s="979">
        <f>E118*F118</f>
        <v>85800</v>
      </c>
    </row>
    <row r="119" spans="1:8" x14ac:dyDescent="0.25">
      <c r="A119" s="980"/>
      <c r="B119" s="980" t="s">
        <v>51</v>
      </c>
      <c r="C119" s="981" t="s">
        <v>581</v>
      </c>
      <c r="D119" s="981" t="s">
        <v>242</v>
      </c>
      <c r="E119" s="982">
        <v>0.39</v>
      </c>
      <c r="F119" s="983">
        <f>F101</f>
        <v>153000</v>
      </c>
      <c r="G119" s="979">
        <f>E119*F119</f>
        <v>59670</v>
      </c>
    </row>
    <row r="120" spans="1:8" x14ac:dyDescent="0.25">
      <c r="A120" s="980"/>
      <c r="B120" s="980" t="s">
        <v>18</v>
      </c>
      <c r="C120" s="981" t="s">
        <v>582</v>
      </c>
      <c r="D120" s="981" t="s">
        <v>242</v>
      </c>
      <c r="E120" s="982">
        <v>3.9E-2</v>
      </c>
      <c r="F120" s="983">
        <f>F102</f>
        <v>170000</v>
      </c>
      <c r="G120" s="979">
        <f>E120*F120</f>
        <v>6630</v>
      </c>
    </row>
    <row r="121" spans="1:8" x14ac:dyDescent="0.25">
      <c r="A121" s="980"/>
      <c r="B121" s="980" t="s">
        <v>19</v>
      </c>
      <c r="C121" s="981" t="s">
        <v>558</v>
      </c>
      <c r="D121" s="981" t="s">
        <v>242</v>
      </c>
      <c r="E121" s="982">
        <v>3.9E-2</v>
      </c>
      <c r="F121" s="983">
        <f>F103</f>
        <v>150000</v>
      </c>
      <c r="G121" s="979">
        <f>E121*F121</f>
        <v>5850</v>
      </c>
    </row>
    <row r="122" spans="1:8" x14ac:dyDescent="0.25">
      <c r="A122" s="984"/>
      <c r="B122" s="985"/>
      <c r="C122" s="986"/>
      <c r="D122" s="986"/>
      <c r="E122" s="987" t="s">
        <v>559</v>
      </c>
      <c r="F122" s="988"/>
      <c r="G122" s="989">
        <f>SUM(G118:G121)</f>
        <v>157950</v>
      </c>
    </row>
    <row r="123" spans="1:8" x14ac:dyDescent="0.25">
      <c r="A123" s="972" t="s">
        <v>1</v>
      </c>
      <c r="B123" s="972" t="s">
        <v>5</v>
      </c>
      <c r="C123" s="973"/>
      <c r="D123" s="973"/>
      <c r="E123" s="974"/>
      <c r="F123" s="975"/>
      <c r="G123" s="975"/>
    </row>
    <row r="124" spans="1:8" x14ac:dyDescent="0.25">
      <c r="A124" s="991"/>
      <c r="B124" s="990" t="s">
        <v>583</v>
      </c>
      <c r="C124" s="997"/>
      <c r="D124" s="997" t="s">
        <v>506</v>
      </c>
      <c r="E124" s="998">
        <v>1.2</v>
      </c>
      <c r="F124" s="994">
        <f>'UPah &amp; Bahan oke'!H24</f>
        <v>300000</v>
      </c>
      <c r="G124" s="995">
        <f>E124*F124</f>
        <v>360000</v>
      </c>
    </row>
    <row r="125" spans="1:8" x14ac:dyDescent="0.25">
      <c r="A125" s="991"/>
      <c r="B125" s="1003" t="s">
        <v>576</v>
      </c>
      <c r="C125" s="999"/>
      <c r="D125" s="999" t="s">
        <v>506</v>
      </c>
      <c r="E125" s="1000">
        <v>0.432</v>
      </c>
      <c r="F125" s="994">
        <f>'UPah &amp; Bahan oke'!H17</f>
        <v>80000</v>
      </c>
      <c r="G125" s="995">
        <f>E125*F125</f>
        <v>34560</v>
      </c>
    </row>
    <row r="126" spans="1:8" x14ac:dyDescent="0.25">
      <c r="A126" s="984"/>
      <c r="B126" s="985"/>
      <c r="C126" s="986"/>
      <c r="D126" s="986"/>
      <c r="E126" s="987" t="s">
        <v>563</v>
      </c>
      <c r="F126" s="988"/>
      <c r="G126" s="989">
        <f>SUM(G124:G125)</f>
        <v>394560</v>
      </c>
    </row>
    <row r="127" spans="1:8" x14ac:dyDescent="0.25">
      <c r="A127" s="990" t="s">
        <v>560</v>
      </c>
      <c r="B127" s="990" t="s">
        <v>561</v>
      </c>
      <c r="C127" s="997"/>
      <c r="D127" s="997"/>
      <c r="E127" s="998"/>
      <c r="F127" s="995"/>
      <c r="G127" s="995"/>
    </row>
    <row r="128" spans="1:8" x14ac:dyDescent="0.25">
      <c r="A128" s="984"/>
      <c r="B128" s="985"/>
      <c r="C128" s="986"/>
      <c r="D128" s="986"/>
      <c r="E128" s="987" t="s">
        <v>562</v>
      </c>
      <c r="F128" s="988"/>
      <c r="G128" s="989"/>
    </row>
    <row r="129" spans="1:8" x14ac:dyDescent="0.25">
      <c r="A129" s="984" t="s">
        <v>564</v>
      </c>
      <c r="B129" s="984" t="s">
        <v>565</v>
      </c>
      <c r="C129" s="986"/>
      <c r="D129" s="986"/>
      <c r="E129" s="987"/>
      <c r="F129" s="1001"/>
      <c r="G129" s="989">
        <f>SUM(G122+G126)</f>
        <v>552510</v>
      </c>
    </row>
    <row r="130" spans="1:8" x14ac:dyDescent="0.25">
      <c r="A130" s="984" t="s">
        <v>566</v>
      </c>
      <c r="B130" s="984" t="s">
        <v>568</v>
      </c>
      <c r="C130" s="986"/>
      <c r="D130" s="986"/>
      <c r="E130" s="987"/>
      <c r="F130" s="1001"/>
      <c r="G130" s="989">
        <f>G129*0.15</f>
        <v>82876.5</v>
      </c>
    </row>
    <row r="131" spans="1:8" x14ac:dyDescent="0.25">
      <c r="A131" s="984" t="s">
        <v>567</v>
      </c>
      <c r="B131" s="984" t="s">
        <v>569</v>
      </c>
      <c r="C131" s="986"/>
      <c r="D131" s="986"/>
      <c r="E131" s="987"/>
      <c r="F131" s="1001"/>
      <c r="G131" s="1002">
        <f>SUM(G129:G130)</f>
        <v>635386.5</v>
      </c>
    </row>
    <row r="132" spans="1:8" x14ac:dyDescent="0.25">
      <c r="A132" s="996"/>
      <c r="B132" s="996"/>
      <c r="C132" s="1004"/>
      <c r="D132" s="1004"/>
      <c r="E132" s="1005"/>
      <c r="F132" s="1006"/>
      <c r="G132" s="1007"/>
    </row>
    <row r="133" spans="1:8" s="651" customFormat="1" x14ac:dyDescent="0.25">
      <c r="A133" s="963" t="s">
        <v>740</v>
      </c>
      <c r="B133" s="964"/>
      <c r="C133" s="963" t="s">
        <v>1233</v>
      </c>
      <c r="D133" s="965"/>
      <c r="E133" s="966"/>
      <c r="F133" s="967"/>
      <c r="G133" s="967"/>
      <c r="H133" s="650"/>
    </row>
    <row r="134" spans="1:8" s="651" customFormat="1" ht="28.5" customHeight="1" x14ac:dyDescent="0.25">
      <c r="A134" s="968" t="s">
        <v>146</v>
      </c>
      <c r="B134" s="968" t="s">
        <v>550</v>
      </c>
      <c r="C134" s="969" t="s">
        <v>551</v>
      </c>
      <c r="D134" s="969" t="s">
        <v>552</v>
      </c>
      <c r="E134" s="970" t="s">
        <v>553</v>
      </c>
      <c r="F134" s="971" t="s">
        <v>554</v>
      </c>
      <c r="G134" s="971" t="s">
        <v>555</v>
      </c>
      <c r="H134" s="650"/>
    </row>
    <row r="135" spans="1:8" s="651" customFormat="1" x14ac:dyDescent="0.25">
      <c r="A135" s="972" t="s">
        <v>556</v>
      </c>
      <c r="B135" s="972" t="s">
        <v>15</v>
      </c>
      <c r="C135" s="973"/>
      <c r="D135" s="973"/>
      <c r="E135" s="974"/>
      <c r="F135" s="975"/>
      <c r="G135" s="975"/>
      <c r="H135" s="650"/>
    </row>
    <row r="136" spans="1:8" s="651" customFormat="1" x14ac:dyDescent="0.25">
      <c r="A136" s="976"/>
      <c r="B136" s="976" t="s">
        <v>17</v>
      </c>
      <c r="C136" s="977" t="s">
        <v>557</v>
      </c>
      <c r="D136" s="977" t="s">
        <v>242</v>
      </c>
      <c r="E136" s="978">
        <v>0.4</v>
      </c>
      <c r="F136" s="979">
        <f>$F$118</f>
        <v>110000</v>
      </c>
      <c r="G136" s="979">
        <f>E136*F136</f>
        <v>44000</v>
      </c>
      <c r="H136" s="650"/>
    </row>
    <row r="137" spans="1:8" s="651" customFormat="1" x14ac:dyDescent="0.25">
      <c r="A137" s="980"/>
      <c r="B137" s="980" t="s">
        <v>51</v>
      </c>
      <c r="C137" s="981" t="s">
        <v>581</v>
      </c>
      <c r="D137" s="981" t="s">
        <v>242</v>
      </c>
      <c r="E137" s="982">
        <v>0.2</v>
      </c>
      <c r="F137" s="983">
        <f>$F$119</f>
        <v>153000</v>
      </c>
      <c r="G137" s="979">
        <f>E137*F137</f>
        <v>30600</v>
      </c>
      <c r="H137" s="650"/>
    </row>
    <row r="138" spans="1:8" s="651" customFormat="1" x14ac:dyDescent="0.25">
      <c r="A138" s="980"/>
      <c r="B138" s="980" t="s">
        <v>18</v>
      </c>
      <c r="C138" s="981" t="s">
        <v>582</v>
      </c>
      <c r="D138" s="981" t="s">
        <v>242</v>
      </c>
      <c r="E138" s="982">
        <v>0.02</v>
      </c>
      <c r="F138" s="983">
        <f>$F$120</f>
        <v>170000</v>
      </c>
      <c r="G138" s="979">
        <f>E138*F138</f>
        <v>3400</v>
      </c>
      <c r="H138" s="650"/>
    </row>
    <row r="139" spans="1:8" s="651" customFormat="1" x14ac:dyDescent="0.25">
      <c r="A139" s="980"/>
      <c r="B139" s="980" t="s">
        <v>19</v>
      </c>
      <c r="C139" s="981" t="s">
        <v>558</v>
      </c>
      <c r="D139" s="981" t="s">
        <v>242</v>
      </c>
      <c r="E139" s="982">
        <v>2.1999999999999999E-2</v>
      </c>
      <c r="F139" s="983">
        <f>$F$121</f>
        <v>150000</v>
      </c>
      <c r="G139" s="979">
        <f>E139*F139</f>
        <v>3300</v>
      </c>
      <c r="H139" s="650"/>
    </row>
    <row r="140" spans="1:8" s="651" customFormat="1" x14ac:dyDescent="0.25">
      <c r="A140" s="984"/>
      <c r="B140" s="985"/>
      <c r="C140" s="986"/>
      <c r="D140" s="986"/>
      <c r="E140" s="987" t="s">
        <v>559</v>
      </c>
      <c r="F140" s="988"/>
      <c r="G140" s="989">
        <f>SUM(G136:G139)</f>
        <v>81300</v>
      </c>
      <c r="H140" s="650"/>
    </row>
    <row r="141" spans="1:8" s="651" customFormat="1" x14ac:dyDescent="0.25">
      <c r="A141" s="972" t="s">
        <v>1</v>
      </c>
      <c r="B141" s="972" t="s">
        <v>5</v>
      </c>
      <c r="C141" s="973"/>
      <c r="D141" s="973"/>
      <c r="E141" s="974"/>
      <c r="F141" s="975"/>
      <c r="G141" s="975"/>
      <c r="H141" s="650"/>
    </row>
    <row r="142" spans="1:8" s="651" customFormat="1" x14ac:dyDescent="0.25">
      <c r="A142" s="1008"/>
      <c r="B142" s="976" t="s">
        <v>391</v>
      </c>
      <c r="C142" s="977"/>
      <c r="D142" s="977" t="s">
        <v>12</v>
      </c>
      <c r="E142" s="978">
        <v>10.224</v>
      </c>
      <c r="F142" s="1009">
        <f>'UPah &amp; Bahan oke'!$H$29</f>
        <v>1687.5</v>
      </c>
      <c r="G142" s="979">
        <f>E142*F142</f>
        <v>17253</v>
      </c>
      <c r="H142" s="650"/>
    </row>
    <row r="143" spans="1:8" s="651" customFormat="1" x14ac:dyDescent="0.25">
      <c r="A143" s="1010"/>
      <c r="B143" s="1011" t="s">
        <v>49</v>
      </c>
      <c r="C143" s="1012"/>
      <c r="D143" s="1012" t="s">
        <v>506</v>
      </c>
      <c r="E143" s="1013">
        <v>3.2000000000000001E-2</v>
      </c>
      <c r="F143" s="1014">
        <f>'UPah &amp; Bahan oke'!$H$18</f>
        <v>185000</v>
      </c>
      <c r="G143" s="1015">
        <f>E143*F143</f>
        <v>5920</v>
      </c>
      <c r="H143" s="650"/>
    </row>
    <row r="144" spans="1:8" s="651" customFormat="1" x14ac:dyDescent="0.25">
      <c r="A144" s="984"/>
      <c r="B144" s="985"/>
      <c r="C144" s="986"/>
      <c r="D144" s="986"/>
      <c r="E144" s="987" t="s">
        <v>563</v>
      </c>
      <c r="F144" s="988"/>
      <c r="G144" s="989">
        <f>SUM(G142:G143)</f>
        <v>23173</v>
      </c>
      <c r="H144" s="650"/>
    </row>
    <row r="145" spans="1:8" s="651" customFormat="1" x14ac:dyDescent="0.25">
      <c r="A145" s="990" t="s">
        <v>560</v>
      </c>
      <c r="B145" s="990" t="s">
        <v>561</v>
      </c>
      <c r="C145" s="997"/>
      <c r="D145" s="997"/>
      <c r="E145" s="998"/>
      <c r="F145" s="995"/>
      <c r="G145" s="995"/>
      <c r="H145" s="650"/>
    </row>
    <row r="146" spans="1:8" s="651" customFormat="1" x14ac:dyDescent="0.25">
      <c r="A146" s="984"/>
      <c r="B146" s="985"/>
      <c r="C146" s="986"/>
      <c r="D146" s="986"/>
      <c r="E146" s="987" t="s">
        <v>562</v>
      </c>
      <c r="F146" s="988"/>
      <c r="G146" s="989"/>
      <c r="H146" s="650"/>
    </row>
    <row r="147" spans="1:8" s="651" customFormat="1" x14ac:dyDescent="0.25">
      <c r="A147" s="984" t="s">
        <v>564</v>
      </c>
      <c r="B147" s="984" t="s">
        <v>565</v>
      </c>
      <c r="C147" s="986"/>
      <c r="D147" s="986"/>
      <c r="E147" s="987"/>
      <c r="F147" s="1001"/>
      <c r="G147" s="989">
        <f>SUM(G140+G144)</f>
        <v>104473</v>
      </c>
      <c r="H147" s="650"/>
    </row>
    <row r="148" spans="1:8" s="651" customFormat="1" x14ac:dyDescent="0.25">
      <c r="A148" s="984" t="s">
        <v>566</v>
      </c>
      <c r="B148" s="984" t="s">
        <v>568</v>
      </c>
      <c r="C148" s="986"/>
      <c r="D148" s="986"/>
      <c r="E148" s="987"/>
      <c r="F148" s="1001"/>
      <c r="G148" s="989">
        <f>G147*0.15</f>
        <v>15670.949999999999</v>
      </c>
      <c r="H148" s="650"/>
    </row>
    <row r="149" spans="1:8" s="651" customFormat="1" x14ac:dyDescent="0.25">
      <c r="A149" s="984" t="s">
        <v>567</v>
      </c>
      <c r="B149" s="984" t="s">
        <v>569</v>
      </c>
      <c r="C149" s="986"/>
      <c r="D149" s="986"/>
      <c r="E149" s="987"/>
      <c r="F149" s="1001"/>
      <c r="G149" s="1002">
        <f>SUM(G147:G148)</f>
        <v>120143.95</v>
      </c>
      <c r="H149" s="650"/>
    </row>
    <row r="150" spans="1:8" s="651" customFormat="1" x14ac:dyDescent="0.25">
      <c r="A150" s="963" t="s">
        <v>605</v>
      </c>
      <c r="B150" s="964"/>
      <c r="C150" s="963" t="s">
        <v>1234</v>
      </c>
      <c r="D150" s="965"/>
      <c r="E150" s="966"/>
      <c r="F150" s="967"/>
      <c r="G150" s="967"/>
      <c r="H150" s="650"/>
    </row>
    <row r="151" spans="1:8" s="651" customFormat="1" x14ac:dyDescent="0.25">
      <c r="A151" s="968" t="s">
        <v>146</v>
      </c>
      <c r="B151" s="968" t="s">
        <v>550</v>
      </c>
      <c r="C151" s="969" t="s">
        <v>551</v>
      </c>
      <c r="D151" s="969" t="s">
        <v>552</v>
      </c>
      <c r="E151" s="970" t="s">
        <v>553</v>
      </c>
      <c r="F151" s="971" t="s">
        <v>554</v>
      </c>
      <c r="G151" s="971" t="s">
        <v>555</v>
      </c>
      <c r="H151" s="650"/>
    </row>
    <row r="152" spans="1:8" s="651" customFormat="1" x14ac:dyDescent="0.25">
      <c r="A152" s="972" t="s">
        <v>556</v>
      </c>
      <c r="B152" s="972" t="s">
        <v>15</v>
      </c>
      <c r="C152" s="973"/>
      <c r="D152" s="973"/>
      <c r="E152" s="974"/>
      <c r="F152" s="975"/>
      <c r="G152" s="975"/>
      <c r="H152" s="650"/>
    </row>
    <row r="153" spans="1:8" s="651" customFormat="1" x14ac:dyDescent="0.25">
      <c r="A153" s="976"/>
      <c r="B153" s="976" t="s">
        <v>17</v>
      </c>
      <c r="C153" s="977" t="s">
        <v>557</v>
      </c>
      <c r="D153" s="977" t="s">
        <v>242</v>
      </c>
      <c r="E153" s="978">
        <v>0.4</v>
      </c>
      <c r="F153" s="979">
        <f>F524</f>
        <v>110000</v>
      </c>
      <c r="G153" s="979">
        <f>E153*F153</f>
        <v>44000</v>
      </c>
      <c r="H153" s="650"/>
    </row>
    <row r="154" spans="1:8" s="651" customFormat="1" x14ac:dyDescent="0.25">
      <c r="A154" s="980"/>
      <c r="B154" s="980" t="s">
        <v>51</v>
      </c>
      <c r="C154" s="981" t="s">
        <v>581</v>
      </c>
      <c r="D154" s="981" t="s">
        <v>242</v>
      </c>
      <c r="E154" s="982">
        <v>0.2</v>
      </c>
      <c r="F154" s="979">
        <f>F525</f>
        <v>153000</v>
      </c>
      <c r="G154" s="979">
        <f>E154*F154</f>
        <v>30600</v>
      </c>
      <c r="H154" s="650"/>
    </row>
    <row r="155" spans="1:8" s="651" customFormat="1" x14ac:dyDescent="0.25">
      <c r="A155" s="980"/>
      <c r="B155" s="980" t="s">
        <v>18</v>
      </c>
      <c r="C155" s="981" t="s">
        <v>582</v>
      </c>
      <c r="D155" s="981" t="s">
        <v>242</v>
      </c>
      <c r="E155" s="982">
        <v>0.02</v>
      </c>
      <c r="F155" s="979">
        <f>F526</f>
        <v>170000</v>
      </c>
      <c r="G155" s="979">
        <f>E155*F155</f>
        <v>3400</v>
      </c>
      <c r="H155" s="650"/>
    </row>
    <row r="156" spans="1:8" s="651" customFormat="1" x14ac:dyDescent="0.25">
      <c r="A156" s="980"/>
      <c r="B156" s="980" t="s">
        <v>19</v>
      </c>
      <c r="C156" s="981" t="s">
        <v>558</v>
      </c>
      <c r="D156" s="981" t="s">
        <v>242</v>
      </c>
      <c r="E156" s="982">
        <v>2.1999999999999999E-2</v>
      </c>
      <c r="F156" s="979">
        <f>F527</f>
        <v>150000</v>
      </c>
      <c r="G156" s="979">
        <f>E156*F156</f>
        <v>3300</v>
      </c>
      <c r="H156" s="650"/>
    </row>
    <row r="157" spans="1:8" s="651" customFormat="1" x14ac:dyDescent="0.25">
      <c r="A157" s="984"/>
      <c r="B157" s="985"/>
      <c r="C157" s="986"/>
      <c r="D157" s="986"/>
      <c r="E157" s="987" t="s">
        <v>559</v>
      </c>
      <c r="F157" s="988"/>
      <c r="G157" s="989">
        <f>SUM(G153:G156)</f>
        <v>81300</v>
      </c>
      <c r="H157" s="650"/>
    </row>
    <row r="158" spans="1:8" s="651" customFormat="1" x14ac:dyDescent="0.25">
      <c r="A158" s="1016" t="s">
        <v>1</v>
      </c>
      <c r="B158" s="1016" t="s">
        <v>5</v>
      </c>
      <c r="C158" s="992"/>
      <c r="D158" s="992"/>
      <c r="E158" s="993"/>
      <c r="F158" s="1017"/>
      <c r="G158" s="1017"/>
      <c r="H158" s="650"/>
    </row>
    <row r="159" spans="1:8" s="651" customFormat="1" x14ac:dyDescent="0.25">
      <c r="A159" s="1018"/>
      <c r="B159" s="1019" t="s">
        <v>96</v>
      </c>
      <c r="C159" s="973"/>
      <c r="D159" s="973" t="s">
        <v>12</v>
      </c>
      <c r="E159" s="974">
        <v>8.32</v>
      </c>
      <c r="F159" s="1020">
        <f>'UPah &amp; Bahan oke'!H29</f>
        <v>1687.5</v>
      </c>
      <c r="G159" s="975">
        <f>E159*F159</f>
        <v>14040</v>
      </c>
      <c r="H159" s="650"/>
    </row>
    <row r="160" spans="1:8" s="651" customFormat="1" x14ac:dyDescent="0.25">
      <c r="A160" s="1010"/>
      <c r="B160" s="1011" t="s">
        <v>46</v>
      </c>
      <c r="C160" s="1012"/>
      <c r="D160" s="1012" t="s">
        <v>506</v>
      </c>
      <c r="E160" s="1013">
        <v>3.2000000000000001E-2</v>
      </c>
      <c r="F160" s="1014">
        <f>'UPah &amp; Bahan oke'!H18</f>
        <v>185000</v>
      </c>
      <c r="G160" s="1015">
        <f>E160*F160</f>
        <v>5920</v>
      </c>
      <c r="H160" s="650"/>
    </row>
    <row r="161" spans="1:8" s="651" customFormat="1" x14ac:dyDescent="0.25">
      <c r="A161" s="984"/>
      <c r="B161" s="985"/>
      <c r="C161" s="986"/>
      <c r="D161" s="986"/>
      <c r="E161" s="987" t="s">
        <v>563</v>
      </c>
      <c r="F161" s="988"/>
      <c r="G161" s="989">
        <f>SUM(G159:G160)</f>
        <v>19960</v>
      </c>
      <c r="H161" s="650"/>
    </row>
    <row r="162" spans="1:8" s="651" customFormat="1" x14ac:dyDescent="0.25">
      <c r="A162" s="990" t="s">
        <v>560</v>
      </c>
      <c r="B162" s="990" t="s">
        <v>561</v>
      </c>
      <c r="C162" s="997"/>
      <c r="D162" s="997"/>
      <c r="E162" s="998"/>
      <c r="F162" s="995"/>
      <c r="G162" s="995"/>
      <c r="H162" s="650"/>
    </row>
    <row r="163" spans="1:8" s="651" customFormat="1" x14ac:dyDescent="0.25">
      <c r="A163" s="984"/>
      <c r="B163" s="985"/>
      <c r="C163" s="986"/>
      <c r="D163" s="986"/>
      <c r="E163" s="987" t="s">
        <v>562</v>
      </c>
      <c r="F163" s="988"/>
      <c r="G163" s="989"/>
      <c r="H163" s="650"/>
    </row>
    <row r="164" spans="1:8" s="651" customFormat="1" x14ac:dyDescent="0.25">
      <c r="A164" s="984" t="s">
        <v>564</v>
      </c>
      <c r="B164" s="984" t="s">
        <v>565</v>
      </c>
      <c r="C164" s="986"/>
      <c r="D164" s="986"/>
      <c r="E164" s="987"/>
      <c r="F164" s="1001"/>
      <c r="G164" s="989">
        <f>SUM(G157+G161)</f>
        <v>101260</v>
      </c>
      <c r="H164" s="650"/>
    </row>
    <row r="165" spans="1:8" s="651" customFormat="1" x14ac:dyDescent="0.25">
      <c r="A165" s="984" t="s">
        <v>566</v>
      </c>
      <c r="B165" s="984" t="s">
        <v>568</v>
      </c>
      <c r="C165" s="986"/>
      <c r="D165" s="986"/>
      <c r="E165" s="987"/>
      <c r="F165" s="1001"/>
      <c r="G165" s="989">
        <f>G164*0.15</f>
        <v>15189</v>
      </c>
      <c r="H165" s="650"/>
    </row>
    <row r="166" spans="1:8" s="651" customFormat="1" x14ac:dyDescent="0.25">
      <c r="A166" s="984" t="s">
        <v>567</v>
      </c>
      <c r="B166" s="984" t="s">
        <v>569</v>
      </c>
      <c r="C166" s="986"/>
      <c r="D166" s="986"/>
      <c r="E166" s="987"/>
      <c r="F166" s="1001"/>
      <c r="G166" s="1002">
        <f>SUM(G164:G165)</f>
        <v>116449</v>
      </c>
      <c r="H166" s="650"/>
    </row>
    <row r="167" spans="1:8" ht="24.75" hidden="1" customHeight="1" x14ac:dyDescent="0.25">
      <c r="A167" s="963" t="s">
        <v>629</v>
      </c>
      <c r="B167" s="964"/>
      <c r="C167" s="963" t="s">
        <v>1235</v>
      </c>
      <c r="D167" s="965"/>
      <c r="E167" s="966"/>
      <c r="F167" s="967"/>
      <c r="G167" s="967"/>
    </row>
    <row r="168" spans="1:8" ht="28.5" hidden="1" customHeight="1" x14ac:dyDescent="0.25">
      <c r="A168" s="968" t="s">
        <v>146</v>
      </c>
      <c r="B168" s="968" t="s">
        <v>550</v>
      </c>
      <c r="C168" s="969" t="s">
        <v>551</v>
      </c>
      <c r="D168" s="969" t="s">
        <v>552</v>
      </c>
      <c r="E168" s="970" t="s">
        <v>553</v>
      </c>
      <c r="F168" s="971" t="s">
        <v>554</v>
      </c>
      <c r="G168" s="971" t="s">
        <v>555</v>
      </c>
    </row>
    <row r="169" spans="1:8" hidden="1" x14ac:dyDescent="0.25">
      <c r="A169" s="972" t="s">
        <v>556</v>
      </c>
      <c r="B169" s="972" t="s">
        <v>15</v>
      </c>
      <c r="C169" s="973"/>
      <c r="D169" s="973"/>
      <c r="E169" s="974"/>
      <c r="F169" s="975"/>
      <c r="G169" s="975"/>
    </row>
    <row r="170" spans="1:8" hidden="1" x14ac:dyDescent="0.25">
      <c r="A170" s="976"/>
      <c r="B170" s="976" t="s">
        <v>17</v>
      </c>
      <c r="C170" s="977" t="s">
        <v>557</v>
      </c>
      <c r="D170" s="977" t="s">
        <v>242</v>
      </c>
      <c r="E170" s="978">
        <v>0.38400000000000001</v>
      </c>
      <c r="F170" s="979">
        <f>$F$118</f>
        <v>110000</v>
      </c>
      <c r="G170" s="979">
        <f>E170*F170</f>
        <v>42240</v>
      </c>
    </row>
    <row r="171" spans="1:8" hidden="1" x14ac:dyDescent="0.25">
      <c r="A171" s="980"/>
      <c r="B171" s="980" t="s">
        <v>51</v>
      </c>
      <c r="C171" s="981" t="s">
        <v>581</v>
      </c>
      <c r="D171" s="981" t="s">
        <v>242</v>
      </c>
      <c r="E171" s="982">
        <v>0.192</v>
      </c>
      <c r="F171" s="983">
        <f>$F$119</f>
        <v>153000</v>
      </c>
      <c r="G171" s="979">
        <f>E171*F171</f>
        <v>29376</v>
      </c>
    </row>
    <row r="172" spans="1:8" hidden="1" x14ac:dyDescent="0.25">
      <c r="A172" s="980"/>
      <c r="B172" s="980" t="s">
        <v>18</v>
      </c>
      <c r="C172" s="981" t="s">
        <v>582</v>
      </c>
      <c r="D172" s="981" t="s">
        <v>242</v>
      </c>
      <c r="E172" s="982">
        <v>1.9E-2</v>
      </c>
      <c r="F172" s="983">
        <f>$F$120</f>
        <v>170000</v>
      </c>
      <c r="G172" s="979">
        <f>E172*F172</f>
        <v>3230</v>
      </c>
    </row>
    <row r="173" spans="1:8" hidden="1" x14ac:dyDescent="0.25">
      <c r="A173" s="980"/>
      <c r="B173" s="980" t="s">
        <v>19</v>
      </c>
      <c r="C173" s="981" t="s">
        <v>558</v>
      </c>
      <c r="D173" s="981" t="s">
        <v>242</v>
      </c>
      <c r="E173" s="982">
        <v>1.9E-2</v>
      </c>
      <c r="F173" s="983">
        <f>$F$121</f>
        <v>150000</v>
      </c>
      <c r="G173" s="979">
        <f>E173*F173</f>
        <v>2850</v>
      </c>
    </row>
    <row r="174" spans="1:8" hidden="1" x14ac:dyDescent="0.25">
      <c r="A174" s="984"/>
      <c r="B174" s="985"/>
      <c r="C174" s="986"/>
      <c r="D174" s="986"/>
      <c r="E174" s="987" t="s">
        <v>559</v>
      </c>
      <c r="F174" s="988"/>
      <c r="G174" s="989">
        <f>SUM(G170:G173)</f>
        <v>77696</v>
      </c>
    </row>
    <row r="175" spans="1:8" hidden="1" x14ac:dyDescent="0.25">
      <c r="A175" s="972" t="s">
        <v>1</v>
      </c>
      <c r="B175" s="972" t="s">
        <v>5</v>
      </c>
      <c r="C175" s="973"/>
      <c r="D175" s="973"/>
      <c r="E175" s="974"/>
      <c r="F175" s="975"/>
      <c r="G175" s="975"/>
    </row>
    <row r="176" spans="1:8" hidden="1" x14ac:dyDescent="0.25">
      <c r="A176" s="991"/>
      <c r="B176" s="990" t="s">
        <v>391</v>
      </c>
      <c r="C176" s="997"/>
      <c r="D176" s="997" t="s">
        <v>12</v>
      </c>
      <c r="E176" s="998">
        <v>6.28</v>
      </c>
      <c r="F176" s="994">
        <f>'UPah &amp; Bahan oke'!$H$29</f>
        <v>1687.5</v>
      </c>
      <c r="G176" s="995">
        <f>E176*F176</f>
        <v>10597.5</v>
      </c>
    </row>
    <row r="177" spans="1:8" hidden="1" x14ac:dyDescent="0.25">
      <c r="A177" s="991"/>
      <c r="B177" s="1003" t="s">
        <v>49</v>
      </c>
      <c r="C177" s="999"/>
      <c r="D177" s="999" t="s">
        <v>506</v>
      </c>
      <c r="E177" s="1000">
        <v>2.4E-2</v>
      </c>
      <c r="F177" s="994">
        <f>'UPah &amp; Bahan oke'!$H$18</f>
        <v>185000</v>
      </c>
      <c r="G177" s="995">
        <f>E177*F177</f>
        <v>4440</v>
      </c>
    </row>
    <row r="178" spans="1:8" hidden="1" x14ac:dyDescent="0.25">
      <c r="A178" s="984"/>
      <c r="B178" s="985"/>
      <c r="C178" s="986"/>
      <c r="D178" s="986"/>
      <c r="E178" s="987" t="s">
        <v>563</v>
      </c>
      <c r="F178" s="988"/>
      <c r="G178" s="989">
        <f>SUM(G176:G177)</f>
        <v>15037.5</v>
      </c>
    </row>
    <row r="179" spans="1:8" hidden="1" x14ac:dyDescent="0.25">
      <c r="A179" s="990" t="s">
        <v>560</v>
      </c>
      <c r="B179" s="990" t="s">
        <v>561</v>
      </c>
      <c r="C179" s="997"/>
      <c r="D179" s="997"/>
      <c r="E179" s="998"/>
      <c r="F179" s="995"/>
      <c r="G179" s="995"/>
    </row>
    <row r="180" spans="1:8" hidden="1" x14ac:dyDescent="0.25">
      <c r="A180" s="984"/>
      <c r="B180" s="985"/>
      <c r="C180" s="986"/>
      <c r="D180" s="986"/>
      <c r="E180" s="987" t="s">
        <v>562</v>
      </c>
      <c r="F180" s="988"/>
      <c r="G180" s="989"/>
    </row>
    <row r="181" spans="1:8" hidden="1" x14ac:dyDescent="0.25">
      <c r="A181" s="984" t="s">
        <v>564</v>
      </c>
      <c r="B181" s="984" t="s">
        <v>565</v>
      </c>
      <c r="C181" s="986"/>
      <c r="D181" s="986"/>
      <c r="E181" s="987"/>
      <c r="F181" s="1001"/>
      <c r="G181" s="989">
        <f>SUM(G174+G178)</f>
        <v>92733.5</v>
      </c>
    </row>
    <row r="182" spans="1:8" hidden="1" x14ac:dyDescent="0.25">
      <c r="A182" s="984" t="s">
        <v>566</v>
      </c>
      <c r="B182" s="984" t="s">
        <v>568</v>
      </c>
      <c r="C182" s="986"/>
      <c r="D182" s="986"/>
      <c r="E182" s="987"/>
      <c r="F182" s="1001"/>
      <c r="G182" s="989">
        <f>G181*0.15</f>
        <v>13910.025</v>
      </c>
    </row>
    <row r="183" spans="1:8" hidden="1" x14ac:dyDescent="0.25">
      <c r="A183" s="984" t="s">
        <v>567</v>
      </c>
      <c r="B183" s="984" t="s">
        <v>569</v>
      </c>
      <c r="C183" s="986"/>
      <c r="D183" s="986"/>
      <c r="E183" s="987"/>
      <c r="F183" s="1001"/>
      <c r="G183" s="1002">
        <f>SUM(G181:G182)</f>
        <v>106643.52499999999</v>
      </c>
    </row>
    <row r="184" spans="1:8" ht="21.75" hidden="1" customHeight="1" x14ac:dyDescent="0.25">
      <c r="A184" s="964"/>
      <c r="B184" s="964"/>
      <c r="C184" s="965"/>
      <c r="D184" s="965"/>
      <c r="E184" s="966"/>
      <c r="F184" s="967"/>
      <c r="G184" s="967"/>
    </row>
    <row r="185" spans="1:8" s="651" customFormat="1" x14ac:dyDescent="0.25">
      <c r="A185" s="963" t="s">
        <v>591</v>
      </c>
      <c r="B185" s="964"/>
      <c r="C185" s="963" t="s">
        <v>590</v>
      </c>
      <c r="D185" s="965"/>
      <c r="E185" s="966"/>
      <c r="F185" s="967"/>
      <c r="G185" s="967"/>
      <c r="H185" s="650"/>
    </row>
    <row r="186" spans="1:8" s="651" customFormat="1" ht="28.5" customHeight="1" x14ac:dyDescent="0.25">
      <c r="A186" s="968" t="s">
        <v>146</v>
      </c>
      <c r="B186" s="968" t="s">
        <v>550</v>
      </c>
      <c r="C186" s="969" t="s">
        <v>551</v>
      </c>
      <c r="D186" s="969" t="s">
        <v>552</v>
      </c>
      <c r="E186" s="970" t="s">
        <v>553</v>
      </c>
      <c r="F186" s="971" t="s">
        <v>554</v>
      </c>
      <c r="G186" s="971" t="s">
        <v>555</v>
      </c>
      <c r="H186" s="650"/>
    </row>
    <row r="187" spans="1:8" s="651" customFormat="1" x14ac:dyDescent="0.25">
      <c r="A187" s="972" t="s">
        <v>556</v>
      </c>
      <c r="B187" s="972" t="s">
        <v>15</v>
      </c>
      <c r="C187" s="973"/>
      <c r="D187" s="973"/>
      <c r="E187" s="974"/>
      <c r="F187" s="975"/>
      <c r="G187" s="975"/>
      <c r="H187" s="650"/>
    </row>
    <row r="188" spans="1:8" s="651" customFormat="1" x14ac:dyDescent="0.25">
      <c r="A188" s="976"/>
      <c r="B188" s="976" t="s">
        <v>17</v>
      </c>
      <c r="C188" s="977" t="s">
        <v>557</v>
      </c>
      <c r="D188" s="977" t="s">
        <v>242</v>
      </c>
      <c r="E188" s="978">
        <v>0.3</v>
      </c>
      <c r="F188" s="979">
        <f>F170</f>
        <v>110000</v>
      </c>
      <c r="G188" s="979">
        <f>E188*F188</f>
        <v>33000</v>
      </c>
      <c r="H188" s="650"/>
    </row>
    <row r="189" spans="1:8" s="651" customFormat="1" x14ac:dyDescent="0.25">
      <c r="A189" s="980"/>
      <c r="B189" s="980" t="s">
        <v>51</v>
      </c>
      <c r="C189" s="981" t="s">
        <v>581</v>
      </c>
      <c r="D189" s="981" t="s">
        <v>242</v>
      </c>
      <c r="E189" s="982">
        <v>0.1</v>
      </c>
      <c r="F189" s="983">
        <f>F171</f>
        <v>153000</v>
      </c>
      <c r="G189" s="979">
        <f>E189*F189</f>
        <v>15300</v>
      </c>
      <c r="H189" s="650"/>
    </row>
    <row r="190" spans="1:8" s="651" customFormat="1" x14ac:dyDescent="0.25">
      <c r="A190" s="980"/>
      <c r="B190" s="980" t="s">
        <v>18</v>
      </c>
      <c r="C190" s="981" t="s">
        <v>582</v>
      </c>
      <c r="D190" s="981" t="s">
        <v>242</v>
      </c>
      <c r="E190" s="982">
        <v>0.01</v>
      </c>
      <c r="F190" s="983">
        <f>F172</f>
        <v>170000</v>
      </c>
      <c r="G190" s="979">
        <f>E190*F190</f>
        <v>1700</v>
      </c>
      <c r="H190" s="650"/>
    </row>
    <row r="191" spans="1:8" s="651" customFormat="1" x14ac:dyDescent="0.25">
      <c r="A191" s="980"/>
      <c r="B191" s="980" t="s">
        <v>19</v>
      </c>
      <c r="C191" s="981" t="s">
        <v>558</v>
      </c>
      <c r="D191" s="981" t="s">
        <v>242</v>
      </c>
      <c r="E191" s="982">
        <v>1.4999999999999999E-2</v>
      </c>
      <c r="F191" s="983">
        <f>F173</f>
        <v>150000</v>
      </c>
      <c r="G191" s="979">
        <f>E191*F191</f>
        <v>2250</v>
      </c>
      <c r="H191" s="650"/>
    </row>
    <row r="192" spans="1:8" s="651" customFormat="1" x14ac:dyDescent="0.25">
      <c r="A192" s="984"/>
      <c r="B192" s="985"/>
      <c r="C192" s="986"/>
      <c r="D192" s="986"/>
      <c r="E192" s="987" t="s">
        <v>559</v>
      </c>
      <c r="F192" s="988"/>
      <c r="G192" s="989">
        <f>SUM(G188:G191)</f>
        <v>52250</v>
      </c>
      <c r="H192" s="650"/>
    </row>
    <row r="193" spans="1:8" s="651" customFormat="1" x14ac:dyDescent="0.25">
      <c r="A193" s="972" t="s">
        <v>1</v>
      </c>
      <c r="B193" s="972" t="s">
        <v>5</v>
      </c>
      <c r="C193" s="973"/>
      <c r="D193" s="973"/>
      <c r="E193" s="974"/>
      <c r="F193" s="975"/>
      <c r="G193" s="975"/>
      <c r="H193" s="650"/>
    </row>
    <row r="194" spans="1:8" s="651" customFormat="1" x14ac:dyDescent="0.25">
      <c r="A194" s="991"/>
      <c r="B194" s="990" t="s">
        <v>588</v>
      </c>
      <c r="C194" s="997"/>
      <c r="D194" s="997" t="s">
        <v>589</v>
      </c>
      <c r="E194" s="998">
        <v>70</v>
      </c>
      <c r="F194" s="994">
        <f>'UPah &amp; Bahan oke'!H25</f>
        <v>700</v>
      </c>
      <c r="G194" s="995">
        <f>E194*F194</f>
        <v>49000</v>
      </c>
      <c r="H194" s="650"/>
    </row>
    <row r="195" spans="1:8" s="651" customFormat="1" x14ac:dyDescent="0.25">
      <c r="A195" s="991"/>
      <c r="B195" s="990" t="s">
        <v>391</v>
      </c>
      <c r="C195" s="997"/>
      <c r="D195" s="997" t="s">
        <v>12</v>
      </c>
      <c r="E195" s="998">
        <v>11.5</v>
      </c>
      <c r="F195" s="994">
        <f>F176</f>
        <v>1687.5</v>
      </c>
      <c r="G195" s="995">
        <f>E195*F195</f>
        <v>19406.25</v>
      </c>
      <c r="H195" s="650"/>
    </row>
    <row r="196" spans="1:8" s="651" customFormat="1" x14ac:dyDescent="0.25">
      <c r="A196" s="991"/>
      <c r="B196" s="1003" t="s">
        <v>49</v>
      </c>
      <c r="C196" s="999"/>
      <c r="D196" s="999" t="s">
        <v>506</v>
      </c>
      <c r="E196" s="1000">
        <v>4.2999999999999997E-2</v>
      </c>
      <c r="F196" s="994">
        <f>F177</f>
        <v>185000</v>
      </c>
      <c r="G196" s="995">
        <f>E196*F196</f>
        <v>7954.9999999999991</v>
      </c>
      <c r="H196" s="650"/>
    </row>
    <row r="197" spans="1:8" s="651" customFormat="1" x14ac:dyDescent="0.25">
      <c r="A197" s="984"/>
      <c r="B197" s="985"/>
      <c r="C197" s="986"/>
      <c r="D197" s="986"/>
      <c r="E197" s="987" t="s">
        <v>563</v>
      </c>
      <c r="F197" s="988"/>
      <c r="G197" s="989">
        <f>SUM(G194:G196)</f>
        <v>76361.25</v>
      </c>
      <c r="H197" s="650"/>
    </row>
    <row r="198" spans="1:8" s="651" customFormat="1" x14ac:dyDescent="0.25">
      <c r="A198" s="990" t="s">
        <v>560</v>
      </c>
      <c r="B198" s="990" t="s">
        <v>561</v>
      </c>
      <c r="C198" s="997"/>
      <c r="D198" s="997"/>
      <c r="E198" s="998"/>
      <c r="F198" s="995"/>
      <c r="G198" s="995"/>
      <c r="H198" s="650"/>
    </row>
    <row r="199" spans="1:8" s="651" customFormat="1" x14ac:dyDescent="0.25">
      <c r="A199" s="984"/>
      <c r="B199" s="985"/>
      <c r="C199" s="986"/>
      <c r="D199" s="986"/>
      <c r="E199" s="987" t="s">
        <v>562</v>
      </c>
      <c r="F199" s="988"/>
      <c r="G199" s="989"/>
      <c r="H199" s="650"/>
    </row>
    <row r="200" spans="1:8" s="651" customFormat="1" x14ac:dyDescent="0.25">
      <c r="A200" s="984" t="s">
        <v>564</v>
      </c>
      <c r="B200" s="984" t="s">
        <v>565</v>
      </c>
      <c r="C200" s="986"/>
      <c r="D200" s="986"/>
      <c r="E200" s="987"/>
      <c r="F200" s="1001"/>
      <c r="G200" s="989">
        <f>SUM(G192+G197)</f>
        <v>128611.25</v>
      </c>
      <c r="H200" s="650"/>
    </row>
    <row r="201" spans="1:8" s="651" customFormat="1" x14ac:dyDescent="0.25">
      <c r="A201" s="984" t="s">
        <v>566</v>
      </c>
      <c r="B201" s="984" t="s">
        <v>568</v>
      </c>
      <c r="C201" s="986"/>
      <c r="D201" s="986"/>
      <c r="E201" s="987"/>
      <c r="F201" s="1001"/>
      <c r="G201" s="989">
        <f>G200*0.15</f>
        <v>19291.6875</v>
      </c>
      <c r="H201" s="650"/>
    </row>
    <row r="202" spans="1:8" s="651" customFormat="1" x14ac:dyDescent="0.25">
      <c r="A202" s="984" t="s">
        <v>567</v>
      </c>
      <c r="B202" s="984" t="s">
        <v>569</v>
      </c>
      <c r="C202" s="986"/>
      <c r="D202" s="986"/>
      <c r="E202" s="987"/>
      <c r="F202" s="1001"/>
      <c r="G202" s="1002">
        <f>SUM(G200:G201)</f>
        <v>147902.9375</v>
      </c>
      <c r="H202" s="650"/>
    </row>
    <row r="203" spans="1:8" s="651" customFormat="1" x14ac:dyDescent="0.25">
      <c r="A203" s="963" t="s">
        <v>586</v>
      </c>
      <c r="B203" s="964"/>
      <c r="C203" s="963" t="s">
        <v>587</v>
      </c>
      <c r="D203" s="965"/>
      <c r="E203" s="966"/>
      <c r="F203" s="967"/>
      <c r="G203" s="967"/>
      <c r="H203" s="650"/>
    </row>
    <row r="204" spans="1:8" s="651" customFormat="1" ht="28.5" customHeight="1" x14ac:dyDescent="0.25">
      <c r="A204" s="968" t="s">
        <v>146</v>
      </c>
      <c r="B204" s="968" t="s">
        <v>550</v>
      </c>
      <c r="C204" s="969" t="s">
        <v>551</v>
      </c>
      <c r="D204" s="969" t="s">
        <v>552</v>
      </c>
      <c r="E204" s="970" t="s">
        <v>553</v>
      </c>
      <c r="F204" s="971" t="s">
        <v>554</v>
      </c>
      <c r="G204" s="971" t="s">
        <v>555</v>
      </c>
      <c r="H204" s="650"/>
    </row>
    <row r="205" spans="1:8" s="651" customFormat="1" x14ac:dyDescent="0.25">
      <c r="A205" s="972" t="s">
        <v>556</v>
      </c>
      <c r="B205" s="972" t="s">
        <v>15</v>
      </c>
      <c r="C205" s="973"/>
      <c r="D205" s="973"/>
      <c r="E205" s="974"/>
      <c r="F205" s="975"/>
      <c r="G205" s="975"/>
      <c r="H205" s="650"/>
    </row>
    <row r="206" spans="1:8" s="651" customFormat="1" x14ac:dyDescent="0.25">
      <c r="A206" s="976"/>
      <c r="B206" s="976" t="s">
        <v>17</v>
      </c>
      <c r="C206" s="977" t="s">
        <v>557</v>
      </c>
      <c r="D206" s="977" t="s">
        <v>242</v>
      </c>
      <c r="E206" s="978">
        <v>0.3</v>
      </c>
      <c r="F206" s="979">
        <f>F188</f>
        <v>110000</v>
      </c>
      <c r="G206" s="979">
        <f>E206*F206</f>
        <v>33000</v>
      </c>
      <c r="H206" s="650"/>
    </row>
    <row r="207" spans="1:8" s="651" customFormat="1" x14ac:dyDescent="0.25">
      <c r="A207" s="980"/>
      <c r="B207" s="980" t="s">
        <v>51</v>
      </c>
      <c r="C207" s="981" t="s">
        <v>581</v>
      </c>
      <c r="D207" s="981" t="s">
        <v>242</v>
      </c>
      <c r="E207" s="982">
        <v>0.1</v>
      </c>
      <c r="F207" s="979">
        <f>F189</f>
        <v>153000</v>
      </c>
      <c r="G207" s="979">
        <f>E207*F207</f>
        <v>15300</v>
      </c>
      <c r="H207" s="650"/>
    </row>
    <row r="208" spans="1:8" s="651" customFormat="1" x14ac:dyDescent="0.25">
      <c r="A208" s="980"/>
      <c r="B208" s="980" t="s">
        <v>18</v>
      </c>
      <c r="C208" s="981" t="s">
        <v>582</v>
      </c>
      <c r="D208" s="981" t="s">
        <v>242</v>
      </c>
      <c r="E208" s="982">
        <v>0.01</v>
      </c>
      <c r="F208" s="979">
        <f>F190</f>
        <v>170000</v>
      </c>
      <c r="G208" s="979">
        <f>E208*F208</f>
        <v>1700</v>
      </c>
      <c r="H208" s="650"/>
    </row>
    <row r="209" spans="1:8" s="651" customFormat="1" x14ac:dyDescent="0.25">
      <c r="A209" s="980"/>
      <c r="B209" s="980" t="s">
        <v>19</v>
      </c>
      <c r="C209" s="981" t="s">
        <v>558</v>
      </c>
      <c r="D209" s="981" t="s">
        <v>242</v>
      </c>
      <c r="E209" s="982">
        <v>1.4999999999999999E-2</v>
      </c>
      <c r="F209" s="979">
        <f>F191</f>
        <v>150000</v>
      </c>
      <c r="G209" s="979">
        <f>E209*F209</f>
        <v>2250</v>
      </c>
      <c r="H209" s="650"/>
    </row>
    <row r="210" spans="1:8" s="651" customFormat="1" x14ac:dyDescent="0.25">
      <c r="A210" s="984"/>
      <c r="B210" s="985"/>
      <c r="C210" s="986"/>
      <c r="D210" s="986"/>
      <c r="E210" s="987" t="s">
        <v>559</v>
      </c>
      <c r="F210" s="988"/>
      <c r="G210" s="989">
        <f>SUM(G206:G209)</f>
        <v>52250</v>
      </c>
      <c r="H210" s="650"/>
    </row>
    <row r="211" spans="1:8" s="651" customFormat="1" x14ac:dyDescent="0.25">
      <c r="A211" s="972" t="s">
        <v>1</v>
      </c>
      <c r="B211" s="972" t="s">
        <v>5</v>
      </c>
      <c r="C211" s="973"/>
      <c r="D211" s="973"/>
      <c r="E211" s="974"/>
      <c r="F211" s="975"/>
      <c r="G211" s="975"/>
      <c r="H211" s="650"/>
    </row>
    <row r="212" spans="1:8" s="651" customFormat="1" x14ac:dyDescent="0.25">
      <c r="A212" s="991"/>
      <c r="B212" s="990" t="s">
        <v>588</v>
      </c>
      <c r="C212" s="997"/>
      <c r="D212" s="997" t="s">
        <v>589</v>
      </c>
      <c r="E212" s="998">
        <v>70</v>
      </c>
      <c r="F212" s="994">
        <f>F194</f>
        <v>700</v>
      </c>
      <c r="G212" s="995">
        <f>E212*F212</f>
        <v>49000</v>
      </c>
      <c r="H212" s="650"/>
    </row>
    <row r="213" spans="1:8" s="651" customFormat="1" x14ac:dyDescent="0.25">
      <c r="A213" s="991"/>
      <c r="B213" s="990" t="s">
        <v>391</v>
      </c>
      <c r="C213" s="997"/>
      <c r="D213" s="997" t="s">
        <v>12</v>
      </c>
      <c r="E213" s="998">
        <v>18.95</v>
      </c>
      <c r="F213" s="994">
        <f>F195</f>
        <v>1687.5</v>
      </c>
      <c r="G213" s="995">
        <f>E213*F213</f>
        <v>31978.125</v>
      </c>
      <c r="H213" s="650"/>
    </row>
    <row r="214" spans="1:8" s="651" customFormat="1" x14ac:dyDescent="0.25">
      <c r="A214" s="991"/>
      <c r="B214" s="1003" t="s">
        <v>49</v>
      </c>
      <c r="C214" s="999"/>
      <c r="D214" s="999" t="s">
        <v>506</v>
      </c>
      <c r="E214" s="1000">
        <v>3.7999999999999999E-2</v>
      </c>
      <c r="F214" s="994">
        <f>F196</f>
        <v>185000</v>
      </c>
      <c r="G214" s="995">
        <f>E214*F214</f>
        <v>7030</v>
      </c>
      <c r="H214" s="650"/>
    </row>
    <row r="215" spans="1:8" s="651" customFormat="1" x14ac:dyDescent="0.25">
      <c r="A215" s="984"/>
      <c r="B215" s="985"/>
      <c r="C215" s="986"/>
      <c r="D215" s="986"/>
      <c r="E215" s="987" t="s">
        <v>563</v>
      </c>
      <c r="F215" s="988"/>
      <c r="G215" s="989">
        <f>SUM(G212:G214)</f>
        <v>88008.125</v>
      </c>
      <c r="H215" s="650"/>
    </row>
    <row r="216" spans="1:8" s="651" customFormat="1" x14ac:dyDescent="0.25">
      <c r="A216" s="990" t="s">
        <v>560</v>
      </c>
      <c r="B216" s="990" t="s">
        <v>561</v>
      </c>
      <c r="C216" s="997"/>
      <c r="D216" s="997"/>
      <c r="E216" s="998"/>
      <c r="F216" s="995"/>
      <c r="G216" s="995"/>
      <c r="H216" s="650"/>
    </row>
    <row r="217" spans="1:8" s="651" customFormat="1" x14ac:dyDescent="0.25">
      <c r="A217" s="984"/>
      <c r="B217" s="985"/>
      <c r="C217" s="986"/>
      <c r="D217" s="986"/>
      <c r="E217" s="987" t="s">
        <v>562</v>
      </c>
      <c r="F217" s="988"/>
      <c r="G217" s="989"/>
      <c r="H217" s="650"/>
    </row>
    <row r="218" spans="1:8" s="651" customFormat="1" x14ac:dyDescent="0.25">
      <c r="A218" s="984" t="s">
        <v>564</v>
      </c>
      <c r="B218" s="984" t="s">
        <v>565</v>
      </c>
      <c r="C218" s="986"/>
      <c r="D218" s="986"/>
      <c r="E218" s="987"/>
      <c r="F218" s="1001"/>
      <c r="G218" s="989">
        <f>SUM(G210+G215)</f>
        <v>140258.125</v>
      </c>
      <c r="H218" s="650"/>
    </row>
    <row r="219" spans="1:8" s="651" customFormat="1" x14ac:dyDescent="0.25">
      <c r="A219" s="984" t="s">
        <v>566</v>
      </c>
      <c r="B219" s="984" t="s">
        <v>568</v>
      </c>
      <c r="C219" s="986"/>
      <c r="D219" s="986"/>
      <c r="E219" s="987"/>
      <c r="F219" s="1001"/>
      <c r="G219" s="989">
        <f>G218*0.15</f>
        <v>21038.71875</v>
      </c>
      <c r="H219" s="650"/>
    </row>
    <row r="220" spans="1:8" s="651" customFormat="1" x14ac:dyDescent="0.25">
      <c r="A220" s="984" t="s">
        <v>567</v>
      </c>
      <c r="B220" s="984" t="s">
        <v>569</v>
      </c>
      <c r="C220" s="986"/>
      <c r="D220" s="986"/>
      <c r="E220" s="987"/>
      <c r="F220" s="1001"/>
      <c r="G220" s="1002">
        <f>SUM(G218:G219)</f>
        <v>161296.84375</v>
      </c>
      <c r="H220" s="650"/>
    </row>
    <row r="221" spans="1:8" s="651" customFormat="1" x14ac:dyDescent="0.25">
      <c r="A221" s="996"/>
      <c r="B221" s="996"/>
      <c r="C221" s="1004"/>
      <c r="D221" s="1004"/>
      <c r="E221" s="1005"/>
      <c r="F221" s="1006"/>
      <c r="G221" s="1007"/>
      <c r="H221" s="650"/>
    </row>
    <row r="222" spans="1:8" s="651" customFormat="1" x14ac:dyDescent="0.25">
      <c r="A222" s="963" t="s">
        <v>1088</v>
      </c>
      <c r="B222" s="964"/>
      <c r="C222" s="963" t="s">
        <v>1090</v>
      </c>
      <c r="D222" s="965"/>
      <c r="E222" s="966"/>
      <c r="F222" s="967"/>
      <c r="G222" s="967"/>
      <c r="H222" s="650"/>
    </row>
    <row r="223" spans="1:8" s="651" customFormat="1" ht="28.5" customHeight="1" x14ac:dyDescent="0.25">
      <c r="A223" s="968" t="s">
        <v>146</v>
      </c>
      <c r="B223" s="968" t="s">
        <v>550</v>
      </c>
      <c r="C223" s="969" t="s">
        <v>551</v>
      </c>
      <c r="D223" s="969" t="s">
        <v>552</v>
      </c>
      <c r="E223" s="970" t="s">
        <v>553</v>
      </c>
      <c r="F223" s="971" t="s">
        <v>554</v>
      </c>
      <c r="G223" s="971" t="s">
        <v>555</v>
      </c>
      <c r="H223" s="650"/>
    </row>
    <row r="224" spans="1:8" s="651" customFormat="1" x14ac:dyDescent="0.25">
      <c r="A224" s="972" t="s">
        <v>556</v>
      </c>
      <c r="B224" s="972" t="s">
        <v>15</v>
      </c>
      <c r="C224" s="973"/>
      <c r="D224" s="973"/>
      <c r="E224" s="974"/>
      <c r="F224" s="975"/>
      <c r="G224" s="975"/>
      <c r="H224" s="650"/>
    </row>
    <row r="225" spans="1:10" s="651" customFormat="1" x14ac:dyDescent="0.25">
      <c r="A225" s="976"/>
      <c r="B225" s="976" t="s">
        <v>17</v>
      </c>
      <c r="C225" s="977" t="s">
        <v>557</v>
      </c>
      <c r="D225" s="977" t="s">
        <v>242</v>
      </c>
      <c r="E225" s="978">
        <v>0.3</v>
      </c>
      <c r="F225" s="979">
        <f>F206</f>
        <v>110000</v>
      </c>
      <c r="G225" s="979">
        <f>E225*F225</f>
        <v>33000</v>
      </c>
      <c r="H225" s="650"/>
    </row>
    <row r="226" spans="1:10" s="651" customFormat="1" x14ac:dyDescent="0.25">
      <c r="A226" s="980"/>
      <c r="B226" s="980" t="s">
        <v>51</v>
      </c>
      <c r="C226" s="981" t="s">
        <v>581</v>
      </c>
      <c r="D226" s="981" t="s">
        <v>242</v>
      </c>
      <c r="E226" s="982">
        <v>0.1</v>
      </c>
      <c r="F226" s="979">
        <f>F207</f>
        <v>153000</v>
      </c>
      <c r="G226" s="979">
        <f>E226*F226</f>
        <v>15300</v>
      </c>
      <c r="H226" s="650"/>
    </row>
    <row r="227" spans="1:10" s="651" customFormat="1" x14ac:dyDescent="0.25">
      <c r="A227" s="980"/>
      <c r="B227" s="980" t="s">
        <v>18</v>
      </c>
      <c r="C227" s="981" t="s">
        <v>582</v>
      </c>
      <c r="D227" s="981" t="s">
        <v>242</v>
      </c>
      <c r="E227" s="982">
        <v>0.01</v>
      </c>
      <c r="F227" s="979">
        <f>F208</f>
        <v>170000</v>
      </c>
      <c r="G227" s="979">
        <f>E227*F227</f>
        <v>1700</v>
      </c>
      <c r="H227" s="650"/>
    </row>
    <row r="228" spans="1:10" s="651" customFormat="1" x14ac:dyDescent="0.25">
      <c r="A228" s="980"/>
      <c r="B228" s="980" t="s">
        <v>19</v>
      </c>
      <c r="C228" s="981" t="s">
        <v>558</v>
      </c>
      <c r="D228" s="981" t="s">
        <v>242</v>
      </c>
      <c r="E228" s="982">
        <v>1.4999999999999999E-2</v>
      </c>
      <c r="F228" s="979">
        <f>F209</f>
        <v>150000</v>
      </c>
      <c r="G228" s="979">
        <f>E228*F228</f>
        <v>2250</v>
      </c>
      <c r="H228" s="650"/>
    </row>
    <row r="229" spans="1:10" s="651" customFormat="1" x14ac:dyDescent="0.25">
      <c r="A229" s="984"/>
      <c r="B229" s="985"/>
      <c r="C229" s="986"/>
      <c r="D229" s="986"/>
      <c r="E229" s="987" t="s">
        <v>559</v>
      </c>
      <c r="F229" s="988"/>
      <c r="G229" s="989">
        <f>SUM(G225:G228)</f>
        <v>52250</v>
      </c>
      <c r="H229" s="650"/>
    </row>
    <row r="230" spans="1:10" s="651" customFormat="1" x14ac:dyDescent="0.25">
      <c r="A230" s="972" t="s">
        <v>1</v>
      </c>
      <c r="B230" s="972" t="s">
        <v>5</v>
      </c>
      <c r="C230" s="973"/>
      <c r="D230" s="973"/>
      <c r="E230" s="974"/>
      <c r="F230" s="975"/>
      <c r="G230" s="975"/>
      <c r="H230" s="650"/>
    </row>
    <row r="231" spans="1:10" s="651" customFormat="1" x14ac:dyDescent="0.25">
      <c r="A231" s="1008"/>
      <c r="B231" s="976" t="s">
        <v>1089</v>
      </c>
      <c r="C231" s="977"/>
      <c r="D231" s="977" t="s">
        <v>589</v>
      </c>
      <c r="E231" s="978">
        <v>25</v>
      </c>
      <c r="F231" s="1009">
        <f>'UPah &amp; Bahan oke'!H81</f>
        <v>20000</v>
      </c>
      <c r="G231" s="979">
        <f>E231*F231</f>
        <v>500000</v>
      </c>
      <c r="H231" s="650"/>
      <c r="J231" s="651">
        <f>100/20</f>
        <v>5</v>
      </c>
    </row>
    <row r="232" spans="1:10" s="651" customFormat="1" x14ac:dyDescent="0.25">
      <c r="A232" s="1008"/>
      <c r="B232" s="976" t="s">
        <v>59</v>
      </c>
      <c r="C232" s="977"/>
      <c r="D232" s="977" t="s">
        <v>12</v>
      </c>
      <c r="E232" s="978">
        <v>11</v>
      </c>
      <c r="F232" s="1009">
        <f>F213</f>
        <v>1687.5</v>
      </c>
      <c r="G232" s="979">
        <f>E232*F232</f>
        <v>18562.5</v>
      </c>
      <c r="H232" s="650"/>
    </row>
    <row r="233" spans="1:10" s="651" customFormat="1" x14ac:dyDescent="0.25">
      <c r="A233" s="991"/>
      <c r="B233" s="1003" t="s">
        <v>60</v>
      </c>
      <c r="C233" s="999"/>
      <c r="D233" s="999" t="s">
        <v>506</v>
      </c>
      <c r="E233" s="1000">
        <v>3.5000000000000003E-2</v>
      </c>
      <c r="F233" s="994">
        <f>F214</f>
        <v>185000</v>
      </c>
      <c r="G233" s="995">
        <f>E233*F233</f>
        <v>6475.0000000000009</v>
      </c>
      <c r="H233" s="650"/>
    </row>
    <row r="234" spans="1:10" s="651" customFormat="1" x14ac:dyDescent="0.25">
      <c r="A234" s="984"/>
      <c r="B234" s="985"/>
      <c r="C234" s="986"/>
      <c r="D234" s="986"/>
      <c r="E234" s="987" t="s">
        <v>563</v>
      </c>
      <c r="F234" s="988"/>
      <c r="G234" s="989">
        <f>SUM(G231:G233)</f>
        <v>525037.5</v>
      </c>
      <c r="H234" s="650"/>
    </row>
    <row r="235" spans="1:10" s="651" customFormat="1" x14ac:dyDescent="0.25">
      <c r="A235" s="990" t="s">
        <v>560</v>
      </c>
      <c r="B235" s="990" t="s">
        <v>561</v>
      </c>
      <c r="C235" s="997"/>
      <c r="D235" s="997"/>
      <c r="E235" s="998"/>
      <c r="F235" s="995"/>
      <c r="G235" s="995"/>
      <c r="H235" s="650"/>
    </row>
    <row r="236" spans="1:10" s="651" customFormat="1" x14ac:dyDescent="0.25">
      <c r="A236" s="984"/>
      <c r="B236" s="985"/>
      <c r="C236" s="986"/>
      <c r="D236" s="986"/>
      <c r="E236" s="987" t="s">
        <v>562</v>
      </c>
      <c r="F236" s="988"/>
      <c r="G236" s="989"/>
      <c r="H236" s="650"/>
    </row>
    <row r="237" spans="1:10" s="651" customFormat="1" x14ac:dyDescent="0.25">
      <c r="A237" s="984" t="s">
        <v>564</v>
      </c>
      <c r="B237" s="984" t="s">
        <v>565</v>
      </c>
      <c r="C237" s="986"/>
      <c r="D237" s="986"/>
      <c r="E237" s="987"/>
      <c r="F237" s="1001"/>
      <c r="G237" s="989">
        <f>SUM(G229+G234)</f>
        <v>577287.5</v>
      </c>
      <c r="H237" s="650"/>
    </row>
    <row r="238" spans="1:10" s="651" customFormat="1" x14ac:dyDescent="0.25">
      <c r="A238" s="984" t="s">
        <v>566</v>
      </c>
      <c r="B238" s="984" t="s">
        <v>568</v>
      </c>
      <c r="C238" s="986"/>
      <c r="D238" s="986"/>
      <c r="E238" s="987"/>
      <c r="F238" s="1001"/>
      <c r="G238" s="989">
        <f>G237*0.15</f>
        <v>86593.125</v>
      </c>
      <c r="H238" s="650"/>
    </row>
    <row r="239" spans="1:10" s="651" customFormat="1" x14ac:dyDescent="0.25">
      <c r="A239" s="984" t="s">
        <v>567</v>
      </c>
      <c r="B239" s="984" t="s">
        <v>569</v>
      </c>
      <c r="C239" s="986"/>
      <c r="D239" s="986"/>
      <c r="E239" s="987"/>
      <c r="F239" s="1001"/>
      <c r="G239" s="1002">
        <f>SUM(G237:G238)</f>
        <v>663880.625</v>
      </c>
      <c r="H239" s="650"/>
    </row>
    <row r="240" spans="1:10" s="651" customFormat="1" x14ac:dyDescent="0.25">
      <c r="A240" s="996"/>
      <c r="B240" s="996"/>
      <c r="C240" s="1004"/>
      <c r="D240" s="1004"/>
      <c r="E240" s="1005"/>
      <c r="F240" s="1006"/>
      <c r="G240" s="1007"/>
      <c r="H240" s="650"/>
    </row>
    <row r="241" spans="1:8" s="651" customFormat="1" x14ac:dyDescent="0.25">
      <c r="A241" s="963" t="s">
        <v>628</v>
      </c>
      <c r="B241" s="964"/>
      <c r="C241" s="963" t="s">
        <v>1236</v>
      </c>
      <c r="D241" s="965"/>
      <c r="E241" s="966"/>
      <c r="F241" s="967"/>
      <c r="G241" s="967"/>
      <c r="H241" s="650"/>
    </row>
    <row r="242" spans="1:8" s="651" customFormat="1" ht="30" customHeight="1" x14ac:dyDescent="0.25">
      <c r="A242" s="968" t="s">
        <v>146</v>
      </c>
      <c r="B242" s="968" t="s">
        <v>550</v>
      </c>
      <c r="C242" s="969" t="s">
        <v>551</v>
      </c>
      <c r="D242" s="969" t="s">
        <v>552</v>
      </c>
      <c r="E242" s="970" t="s">
        <v>553</v>
      </c>
      <c r="F242" s="971" t="s">
        <v>554</v>
      </c>
      <c r="G242" s="971" t="s">
        <v>555</v>
      </c>
      <c r="H242" s="650"/>
    </row>
    <row r="243" spans="1:8" s="651" customFormat="1" x14ac:dyDescent="0.25">
      <c r="A243" s="972" t="s">
        <v>556</v>
      </c>
      <c r="B243" s="972" t="s">
        <v>15</v>
      </c>
      <c r="C243" s="973"/>
      <c r="D243" s="973"/>
      <c r="E243" s="974"/>
      <c r="F243" s="975"/>
      <c r="G243" s="975"/>
      <c r="H243" s="650"/>
    </row>
    <row r="244" spans="1:8" s="651" customFormat="1" x14ac:dyDescent="0.25">
      <c r="A244" s="976"/>
      <c r="B244" s="976" t="s">
        <v>17</v>
      </c>
      <c r="C244" s="977" t="s">
        <v>557</v>
      </c>
      <c r="D244" s="977" t="s">
        <v>242</v>
      </c>
      <c r="E244" s="978">
        <v>1.65</v>
      </c>
      <c r="F244" s="979">
        <f>F206</f>
        <v>110000</v>
      </c>
      <c r="G244" s="979">
        <f>E244*F244</f>
        <v>181500</v>
      </c>
      <c r="H244" s="650"/>
    </row>
    <row r="245" spans="1:8" s="651" customFormat="1" x14ac:dyDescent="0.25">
      <c r="A245" s="980"/>
      <c r="B245" s="980" t="s">
        <v>51</v>
      </c>
      <c r="C245" s="981" t="s">
        <v>581</v>
      </c>
      <c r="D245" s="981" t="s">
        <v>242</v>
      </c>
      <c r="E245" s="982">
        <v>0.27500000000000002</v>
      </c>
      <c r="F245" s="983">
        <f>F207</f>
        <v>153000</v>
      </c>
      <c r="G245" s="979">
        <f>E245*F245</f>
        <v>42075</v>
      </c>
      <c r="H245" s="650"/>
    </row>
    <row r="246" spans="1:8" s="651" customFormat="1" x14ac:dyDescent="0.25">
      <c r="A246" s="980"/>
      <c r="B246" s="980" t="s">
        <v>18</v>
      </c>
      <c r="C246" s="981" t="s">
        <v>582</v>
      </c>
      <c r="D246" s="981" t="s">
        <v>242</v>
      </c>
      <c r="E246" s="982">
        <v>2.8000000000000001E-2</v>
      </c>
      <c r="F246" s="983">
        <f>F208</f>
        <v>170000</v>
      </c>
      <c r="G246" s="979">
        <f>E246*F246</f>
        <v>4760</v>
      </c>
      <c r="H246" s="650"/>
    </row>
    <row r="247" spans="1:8" s="651" customFormat="1" x14ac:dyDescent="0.25">
      <c r="A247" s="980"/>
      <c r="B247" s="980" t="s">
        <v>19</v>
      </c>
      <c r="C247" s="981" t="s">
        <v>558</v>
      </c>
      <c r="D247" s="981" t="s">
        <v>242</v>
      </c>
      <c r="E247" s="982">
        <v>8.3000000000000004E-2</v>
      </c>
      <c r="F247" s="983">
        <f>F209</f>
        <v>150000</v>
      </c>
      <c r="G247" s="979">
        <f>E247*F247</f>
        <v>12450</v>
      </c>
      <c r="H247" s="650"/>
    </row>
    <row r="248" spans="1:8" s="651" customFormat="1" x14ac:dyDescent="0.25">
      <c r="A248" s="984"/>
      <c r="B248" s="985"/>
      <c r="C248" s="986"/>
      <c r="D248" s="986"/>
      <c r="E248" s="987" t="s">
        <v>559</v>
      </c>
      <c r="F248" s="988"/>
      <c r="G248" s="989">
        <f>SUM(G244:G247)</f>
        <v>240785</v>
      </c>
      <c r="H248" s="650"/>
    </row>
    <row r="249" spans="1:8" s="651" customFormat="1" x14ac:dyDescent="0.25">
      <c r="A249" s="972" t="s">
        <v>1</v>
      </c>
      <c r="B249" s="972" t="s">
        <v>5</v>
      </c>
      <c r="C249" s="973"/>
      <c r="D249" s="973"/>
      <c r="E249" s="974"/>
      <c r="F249" s="975"/>
      <c r="G249" s="975"/>
      <c r="H249" s="650"/>
    </row>
    <row r="250" spans="1:8" s="651" customFormat="1" x14ac:dyDescent="0.25">
      <c r="A250" s="1008"/>
      <c r="B250" s="976" t="s">
        <v>391</v>
      </c>
      <c r="C250" s="977"/>
      <c r="D250" s="977" t="s">
        <v>12</v>
      </c>
      <c r="E250" s="978">
        <v>371</v>
      </c>
      <c r="F250" s="1009">
        <f>'UPah &amp; Bahan oke'!H29</f>
        <v>1687.5</v>
      </c>
      <c r="G250" s="979">
        <f>E250*F250</f>
        <v>626062.5</v>
      </c>
      <c r="H250" s="650"/>
    </row>
    <row r="251" spans="1:8" s="651" customFormat="1" x14ac:dyDescent="0.25">
      <c r="A251" s="1008"/>
      <c r="B251" s="976" t="s">
        <v>71</v>
      </c>
      <c r="C251" s="977"/>
      <c r="D251" s="977" t="s">
        <v>12</v>
      </c>
      <c r="E251" s="978">
        <v>698</v>
      </c>
      <c r="F251" s="1009">
        <f>'UPah &amp; Bahan oke'!H20</f>
        <v>250</v>
      </c>
      <c r="G251" s="979">
        <f>E251*F251</f>
        <v>174500</v>
      </c>
      <c r="H251" s="650"/>
    </row>
    <row r="252" spans="1:8" s="651" customFormat="1" x14ac:dyDescent="0.25">
      <c r="A252" s="1008"/>
      <c r="B252" s="1468" t="s">
        <v>593</v>
      </c>
      <c r="C252" s="977"/>
      <c r="D252" s="977" t="s">
        <v>12</v>
      </c>
      <c r="E252" s="978">
        <v>1047</v>
      </c>
      <c r="F252" s="1009">
        <f>'UPah &amp; Bahan oke'!H22</f>
        <v>138.88888888888889</v>
      </c>
      <c r="G252" s="979">
        <f>E252*F252</f>
        <v>145416.66666666666</v>
      </c>
      <c r="H252" s="650"/>
    </row>
    <row r="253" spans="1:8" s="651" customFormat="1" x14ac:dyDescent="0.25">
      <c r="A253" s="991"/>
      <c r="B253" s="1003" t="s">
        <v>73</v>
      </c>
      <c r="C253" s="999"/>
      <c r="D253" s="999" t="s">
        <v>592</v>
      </c>
      <c r="E253" s="1000">
        <v>215</v>
      </c>
      <c r="F253" s="994">
        <f>'UPah &amp; Bahan oke'!H33</f>
        <v>50</v>
      </c>
      <c r="G253" s="995">
        <f>E253*F253</f>
        <v>10750</v>
      </c>
      <c r="H253" s="650"/>
    </row>
    <row r="254" spans="1:8" s="651" customFormat="1" x14ac:dyDescent="0.25">
      <c r="A254" s="984"/>
      <c r="B254" s="985"/>
      <c r="C254" s="986"/>
      <c r="D254" s="986"/>
      <c r="E254" s="987" t="s">
        <v>563</v>
      </c>
      <c r="F254" s="988"/>
      <c r="G254" s="989">
        <f>SUM(G250:G253)</f>
        <v>956729.16666666663</v>
      </c>
      <c r="H254" s="650"/>
    </row>
    <row r="255" spans="1:8" s="651" customFormat="1" x14ac:dyDescent="0.25">
      <c r="A255" s="990" t="s">
        <v>560</v>
      </c>
      <c r="B255" s="990" t="s">
        <v>561</v>
      </c>
      <c r="C255" s="997"/>
      <c r="D255" s="997"/>
      <c r="E255" s="998"/>
      <c r="F255" s="995"/>
      <c r="G255" s="995"/>
      <c r="H255" s="650"/>
    </row>
    <row r="256" spans="1:8" s="651" customFormat="1" x14ac:dyDescent="0.25">
      <c r="A256" s="984"/>
      <c r="B256" s="985"/>
      <c r="C256" s="986"/>
      <c r="D256" s="986"/>
      <c r="E256" s="987" t="s">
        <v>562</v>
      </c>
      <c r="F256" s="988"/>
      <c r="G256" s="989"/>
      <c r="H256" s="650"/>
    </row>
    <row r="257" spans="1:11" s="651" customFormat="1" x14ac:dyDescent="0.25">
      <c r="A257" s="984" t="s">
        <v>564</v>
      </c>
      <c r="B257" s="984" t="s">
        <v>565</v>
      </c>
      <c r="C257" s="986"/>
      <c r="D257" s="986"/>
      <c r="E257" s="987"/>
      <c r="F257" s="1001"/>
      <c r="G257" s="989">
        <f>SUM(G248+G254)</f>
        <v>1197514.1666666665</v>
      </c>
      <c r="H257" s="650"/>
    </row>
    <row r="258" spans="1:11" s="651" customFormat="1" x14ac:dyDescent="0.25">
      <c r="A258" s="984" t="s">
        <v>566</v>
      </c>
      <c r="B258" s="984" t="s">
        <v>568</v>
      </c>
      <c r="C258" s="986"/>
      <c r="D258" s="986"/>
      <c r="E258" s="987"/>
      <c r="F258" s="1001"/>
      <c r="G258" s="989">
        <f>G257*0.15</f>
        <v>179627.12499999997</v>
      </c>
      <c r="H258" s="650"/>
    </row>
    <row r="259" spans="1:11" s="651" customFormat="1" x14ac:dyDescent="0.25">
      <c r="A259" s="984" t="s">
        <v>567</v>
      </c>
      <c r="B259" s="984" t="s">
        <v>569</v>
      </c>
      <c r="C259" s="986"/>
      <c r="D259" s="986"/>
      <c r="E259" s="987"/>
      <c r="F259" s="1001"/>
      <c r="G259" s="1002">
        <f>SUM(G257:G258)</f>
        <v>1377141.2916666665</v>
      </c>
      <c r="H259" s="650"/>
    </row>
    <row r="260" spans="1:11" s="651" customFormat="1" x14ac:dyDescent="0.25">
      <c r="A260" s="963" t="s">
        <v>1086</v>
      </c>
      <c r="B260" s="964"/>
      <c r="C260" s="963" t="s">
        <v>1237</v>
      </c>
      <c r="D260" s="965"/>
      <c r="E260" s="966"/>
      <c r="F260" s="967"/>
      <c r="G260" s="967"/>
      <c r="H260" s="650"/>
    </row>
    <row r="261" spans="1:11" s="651" customFormat="1" x14ac:dyDescent="0.25">
      <c r="A261" s="968" t="s">
        <v>146</v>
      </c>
      <c r="B261" s="968" t="s">
        <v>550</v>
      </c>
      <c r="C261" s="969" t="s">
        <v>551</v>
      </c>
      <c r="D261" s="969" t="s">
        <v>552</v>
      </c>
      <c r="E261" s="970" t="s">
        <v>553</v>
      </c>
      <c r="F261" s="971" t="s">
        <v>554</v>
      </c>
      <c r="G261" s="971" t="s">
        <v>555</v>
      </c>
      <c r="H261" s="650"/>
    </row>
    <row r="262" spans="1:11" s="651" customFormat="1" x14ac:dyDescent="0.25">
      <c r="A262" s="972" t="s">
        <v>556</v>
      </c>
      <c r="B262" s="972" t="s">
        <v>15</v>
      </c>
      <c r="C262" s="973"/>
      <c r="D262" s="973"/>
      <c r="E262" s="974"/>
      <c r="F262" s="975"/>
      <c r="G262" s="975"/>
      <c r="H262" s="650"/>
    </row>
    <row r="263" spans="1:11" s="651" customFormat="1" x14ac:dyDescent="0.25">
      <c r="A263" s="976"/>
      <c r="B263" s="976" t="s">
        <v>17</v>
      </c>
      <c r="C263" s="977" t="s">
        <v>557</v>
      </c>
      <c r="D263" s="977" t="s">
        <v>242</v>
      </c>
      <c r="E263" s="978">
        <v>1.65</v>
      </c>
      <c r="F263" s="979">
        <f>F244</f>
        <v>110000</v>
      </c>
      <c r="G263" s="979">
        <f>E263*F263</f>
        <v>181500</v>
      </c>
      <c r="H263" s="650"/>
      <c r="K263" s="651">
        <v>1650</v>
      </c>
    </row>
    <row r="264" spans="1:11" s="651" customFormat="1" x14ac:dyDescent="0.25">
      <c r="A264" s="980"/>
      <c r="B264" s="980" t="s">
        <v>51</v>
      </c>
      <c r="C264" s="981" t="s">
        <v>581</v>
      </c>
      <c r="D264" s="981" t="s">
        <v>242</v>
      </c>
      <c r="E264" s="982">
        <v>0.27500000000000002</v>
      </c>
      <c r="F264" s="983">
        <f>F245</f>
        <v>153000</v>
      </c>
      <c r="G264" s="979">
        <f>E264*F264</f>
        <v>42075</v>
      </c>
      <c r="H264" s="650"/>
      <c r="K264" s="651">
        <v>0.27500000000000002</v>
      </c>
    </row>
    <row r="265" spans="1:11" s="651" customFormat="1" x14ac:dyDescent="0.25">
      <c r="A265" s="980"/>
      <c r="B265" s="980" t="s">
        <v>18</v>
      </c>
      <c r="C265" s="981" t="s">
        <v>582</v>
      </c>
      <c r="D265" s="981" t="s">
        <v>242</v>
      </c>
      <c r="E265" s="982">
        <v>2.8000000000000001E-2</v>
      </c>
      <c r="F265" s="983">
        <f>F246</f>
        <v>170000</v>
      </c>
      <c r="G265" s="979">
        <f>E265*F265</f>
        <v>4760</v>
      </c>
      <c r="H265" s="650"/>
      <c r="K265" s="651">
        <v>2.8000000000000001E-2</v>
      </c>
    </row>
    <row r="266" spans="1:11" s="651" customFormat="1" x14ac:dyDescent="0.25">
      <c r="A266" s="980"/>
      <c r="B266" s="980" t="s">
        <v>19</v>
      </c>
      <c r="C266" s="981" t="s">
        <v>558</v>
      </c>
      <c r="D266" s="981" t="s">
        <v>242</v>
      </c>
      <c r="E266" s="982">
        <v>8.3000000000000004E-2</v>
      </c>
      <c r="F266" s="983">
        <f>F247</f>
        <v>150000</v>
      </c>
      <c r="G266" s="979">
        <f>E266*F266</f>
        <v>12450</v>
      </c>
      <c r="H266" s="650"/>
      <c r="K266" s="651">
        <v>8.3000000000000004E-2</v>
      </c>
    </row>
    <row r="267" spans="1:11" s="651" customFormat="1" x14ac:dyDescent="0.25">
      <c r="A267" s="984"/>
      <c r="B267" s="985"/>
      <c r="C267" s="986"/>
      <c r="D267" s="986"/>
      <c r="E267" s="987" t="s">
        <v>559</v>
      </c>
      <c r="F267" s="988"/>
      <c r="G267" s="989">
        <f>SUM(G263:G266)</f>
        <v>240785</v>
      </c>
      <c r="H267" s="650"/>
      <c r="K267" s="651">
        <v>326000</v>
      </c>
    </row>
    <row r="268" spans="1:11" s="651" customFormat="1" x14ac:dyDescent="0.25">
      <c r="A268" s="972" t="s">
        <v>1</v>
      </c>
      <c r="B268" s="972" t="s">
        <v>5</v>
      </c>
      <c r="C268" s="973"/>
      <c r="D268" s="973"/>
      <c r="E268" s="974"/>
      <c r="F268" s="975"/>
      <c r="G268" s="975"/>
      <c r="H268" s="650"/>
      <c r="K268" s="651">
        <v>760</v>
      </c>
    </row>
    <row r="269" spans="1:11" s="651" customFormat="1" x14ac:dyDescent="0.25">
      <c r="A269" s="991"/>
      <c r="B269" s="990" t="s">
        <v>391</v>
      </c>
      <c r="C269" s="997"/>
      <c r="D269" s="997" t="s">
        <v>12</v>
      </c>
      <c r="E269" s="998">
        <v>326</v>
      </c>
      <c r="F269" s="994">
        <f>F250</f>
        <v>1687.5</v>
      </c>
      <c r="G269" s="995">
        <f>E269*F269</f>
        <v>550125</v>
      </c>
      <c r="H269" s="650"/>
      <c r="K269" s="651">
        <v>1029</v>
      </c>
    </row>
    <row r="270" spans="1:11" s="651" customFormat="1" x14ac:dyDescent="0.25">
      <c r="A270" s="1008"/>
      <c r="B270" s="976" t="s">
        <v>71</v>
      </c>
      <c r="C270" s="977"/>
      <c r="D270" s="977" t="s">
        <v>12</v>
      </c>
      <c r="E270" s="978">
        <v>760</v>
      </c>
      <c r="F270" s="1009">
        <f>F251</f>
        <v>250</v>
      </c>
      <c r="G270" s="979">
        <f>E270*F270</f>
        <v>190000</v>
      </c>
      <c r="H270" s="650"/>
      <c r="K270" s="651">
        <v>215</v>
      </c>
    </row>
    <row r="271" spans="1:11" s="651" customFormat="1" x14ac:dyDescent="0.25">
      <c r="A271" s="1008"/>
      <c r="B271" s="1468" t="s">
        <v>593</v>
      </c>
      <c r="C271" s="977"/>
      <c r="D271" s="977" t="s">
        <v>12</v>
      </c>
      <c r="E271" s="978">
        <v>1029</v>
      </c>
      <c r="F271" s="1009">
        <f>F252</f>
        <v>138.88888888888889</v>
      </c>
      <c r="G271" s="979">
        <f>E271*F271</f>
        <v>142916.66666666666</v>
      </c>
      <c r="H271" s="650"/>
    </row>
    <row r="272" spans="1:11" s="651" customFormat="1" x14ac:dyDescent="0.25">
      <c r="A272" s="991"/>
      <c r="B272" s="1003" t="s">
        <v>73</v>
      </c>
      <c r="C272" s="999"/>
      <c r="D272" s="999" t="s">
        <v>592</v>
      </c>
      <c r="E272" s="1000">
        <v>215</v>
      </c>
      <c r="F272" s="994">
        <f>F253</f>
        <v>50</v>
      </c>
      <c r="G272" s="995">
        <f>E272*F272</f>
        <v>10750</v>
      </c>
      <c r="H272" s="650"/>
    </row>
    <row r="273" spans="1:8" s="651" customFormat="1" x14ac:dyDescent="0.25">
      <c r="A273" s="984"/>
      <c r="B273" s="985"/>
      <c r="C273" s="986"/>
      <c r="D273" s="986"/>
      <c r="E273" s="987" t="s">
        <v>563</v>
      </c>
      <c r="F273" s="988"/>
      <c r="G273" s="989">
        <f>SUM(G269:G272)</f>
        <v>893791.66666666663</v>
      </c>
      <c r="H273" s="650"/>
    </row>
    <row r="274" spans="1:8" s="651" customFormat="1" ht="13.5" customHeight="1" x14ac:dyDescent="0.25">
      <c r="A274" s="990" t="s">
        <v>560</v>
      </c>
      <c r="B274" s="990" t="s">
        <v>561</v>
      </c>
      <c r="C274" s="997"/>
      <c r="D274" s="997"/>
      <c r="E274" s="998"/>
      <c r="F274" s="995"/>
      <c r="G274" s="995"/>
      <c r="H274" s="650"/>
    </row>
    <row r="275" spans="1:8" s="651" customFormat="1" ht="12.75" customHeight="1" x14ac:dyDescent="0.25">
      <c r="A275" s="984"/>
      <c r="B275" s="985"/>
      <c r="C275" s="986"/>
      <c r="D275" s="986"/>
      <c r="E275" s="987" t="s">
        <v>562</v>
      </c>
      <c r="F275" s="988"/>
      <c r="G275" s="989"/>
      <c r="H275" s="650"/>
    </row>
    <row r="276" spans="1:8" s="651" customFormat="1" x14ac:dyDescent="0.25">
      <c r="A276" s="984" t="s">
        <v>564</v>
      </c>
      <c r="B276" s="984" t="s">
        <v>565</v>
      </c>
      <c r="C276" s="986"/>
      <c r="D276" s="986"/>
      <c r="E276" s="987"/>
      <c r="F276" s="1001"/>
      <c r="G276" s="989">
        <f>SUM(G267+G273)</f>
        <v>1134576.6666666665</v>
      </c>
      <c r="H276" s="650"/>
    </row>
    <row r="277" spans="1:8" s="651" customFormat="1" x14ac:dyDescent="0.25">
      <c r="A277" s="984" t="s">
        <v>566</v>
      </c>
      <c r="B277" s="984" t="s">
        <v>568</v>
      </c>
      <c r="C277" s="986"/>
      <c r="D277" s="986"/>
      <c r="E277" s="987"/>
      <c r="F277" s="1001"/>
      <c r="G277" s="989">
        <f>G276*0.15</f>
        <v>170186.49999999997</v>
      </c>
      <c r="H277" s="650"/>
    </row>
    <row r="278" spans="1:8" s="651" customFormat="1" x14ac:dyDescent="0.25">
      <c r="A278" s="984" t="s">
        <v>567</v>
      </c>
      <c r="B278" s="984" t="s">
        <v>569</v>
      </c>
      <c r="C278" s="986"/>
      <c r="D278" s="986"/>
      <c r="E278" s="987"/>
      <c r="F278" s="1001"/>
      <c r="G278" s="1002">
        <f>SUM(G276:G277)</f>
        <v>1304763.1666666665</v>
      </c>
      <c r="H278" s="650"/>
    </row>
    <row r="279" spans="1:8" hidden="1" x14ac:dyDescent="0.25">
      <c r="A279" s="964"/>
      <c r="B279" s="964"/>
      <c r="C279" s="965"/>
      <c r="D279" s="965"/>
      <c r="E279" s="966"/>
      <c r="F279" s="967"/>
      <c r="G279" s="967"/>
    </row>
    <row r="280" spans="1:8" hidden="1" x14ac:dyDescent="0.25">
      <c r="A280" s="963" t="s">
        <v>594</v>
      </c>
      <c r="B280" s="964"/>
      <c r="C280" s="963" t="s">
        <v>753</v>
      </c>
      <c r="D280" s="965"/>
      <c r="E280" s="966"/>
      <c r="F280" s="967"/>
      <c r="G280" s="967"/>
    </row>
    <row r="281" spans="1:8" hidden="1" x14ac:dyDescent="0.25">
      <c r="A281" s="968" t="s">
        <v>146</v>
      </c>
      <c r="B281" s="968" t="s">
        <v>550</v>
      </c>
      <c r="C281" s="969" t="s">
        <v>551</v>
      </c>
      <c r="D281" s="969" t="s">
        <v>552</v>
      </c>
      <c r="E281" s="970" t="s">
        <v>553</v>
      </c>
      <c r="F281" s="971" t="s">
        <v>554</v>
      </c>
      <c r="G281" s="971" t="s">
        <v>555</v>
      </c>
    </row>
    <row r="282" spans="1:8" hidden="1" x14ac:dyDescent="0.25">
      <c r="A282" s="972" t="s">
        <v>556</v>
      </c>
      <c r="B282" s="972" t="s">
        <v>15</v>
      </c>
      <c r="C282" s="973"/>
      <c r="D282" s="973"/>
      <c r="E282" s="974"/>
      <c r="F282" s="975"/>
      <c r="G282" s="975"/>
    </row>
    <row r="283" spans="1:8" hidden="1" x14ac:dyDescent="0.25">
      <c r="A283" s="976"/>
      <c r="B283" s="976" t="s">
        <v>17</v>
      </c>
      <c r="C283" s="977" t="s">
        <v>557</v>
      </c>
      <c r="D283" s="977" t="s">
        <v>242</v>
      </c>
      <c r="E283" s="978">
        <v>1.2</v>
      </c>
      <c r="F283" s="979">
        <f>F263</f>
        <v>110000</v>
      </c>
      <c r="G283" s="979">
        <f>E283*F283</f>
        <v>132000</v>
      </c>
    </row>
    <row r="284" spans="1:8" hidden="1" x14ac:dyDescent="0.25">
      <c r="A284" s="980"/>
      <c r="B284" s="980" t="s">
        <v>51</v>
      </c>
      <c r="C284" s="981" t="s">
        <v>581</v>
      </c>
      <c r="D284" s="981" t="s">
        <v>242</v>
      </c>
      <c r="E284" s="982">
        <v>0.2</v>
      </c>
      <c r="F284" s="983">
        <f>F264</f>
        <v>153000</v>
      </c>
      <c r="G284" s="979">
        <f>E284*F284</f>
        <v>30600</v>
      </c>
    </row>
    <row r="285" spans="1:8" hidden="1" x14ac:dyDescent="0.25">
      <c r="A285" s="980"/>
      <c r="B285" s="980" t="s">
        <v>18</v>
      </c>
      <c r="C285" s="981" t="s">
        <v>582</v>
      </c>
      <c r="D285" s="981" t="s">
        <v>242</v>
      </c>
      <c r="E285" s="982">
        <v>0.02</v>
      </c>
      <c r="F285" s="983">
        <f>F265</f>
        <v>170000</v>
      </c>
      <c r="G285" s="979">
        <f>E285*F285</f>
        <v>3400</v>
      </c>
    </row>
    <row r="286" spans="1:8" hidden="1" x14ac:dyDescent="0.25">
      <c r="A286" s="980"/>
      <c r="B286" s="980" t="s">
        <v>19</v>
      </c>
      <c r="C286" s="981" t="s">
        <v>558</v>
      </c>
      <c r="D286" s="981" t="s">
        <v>242</v>
      </c>
      <c r="E286" s="982">
        <v>0.06</v>
      </c>
      <c r="F286" s="983">
        <f>F266</f>
        <v>150000</v>
      </c>
      <c r="G286" s="979">
        <f>E286*F286</f>
        <v>9000</v>
      </c>
    </row>
    <row r="287" spans="1:8" hidden="1" x14ac:dyDescent="0.25">
      <c r="A287" s="984"/>
      <c r="B287" s="985"/>
      <c r="C287" s="986"/>
      <c r="D287" s="986"/>
      <c r="E287" s="987" t="s">
        <v>559</v>
      </c>
      <c r="F287" s="988"/>
      <c r="G287" s="989">
        <f>SUM(G283:G286)</f>
        <v>175000</v>
      </c>
    </row>
    <row r="288" spans="1:8" hidden="1" x14ac:dyDescent="0.25">
      <c r="A288" s="972" t="s">
        <v>1</v>
      </c>
      <c r="B288" s="972" t="s">
        <v>5</v>
      </c>
      <c r="C288" s="973"/>
      <c r="D288" s="973"/>
      <c r="E288" s="974"/>
      <c r="F288" s="975"/>
      <c r="G288" s="975"/>
    </row>
    <row r="289" spans="1:8" hidden="1" x14ac:dyDescent="0.25">
      <c r="A289" s="991"/>
      <c r="B289" s="1021" t="s">
        <v>758</v>
      </c>
      <c r="C289" s="997"/>
      <c r="D289" s="1022" t="s">
        <v>755</v>
      </c>
      <c r="E289" s="1023">
        <f>3.956*50</f>
        <v>197.8</v>
      </c>
      <c r="F289" s="994">
        <f>F269</f>
        <v>1687.5</v>
      </c>
      <c r="G289" s="995">
        <f>E289*F289</f>
        <v>333787.5</v>
      </c>
    </row>
    <row r="290" spans="1:8" hidden="1" x14ac:dyDescent="0.25">
      <c r="A290" s="991"/>
      <c r="B290" s="1024" t="s">
        <v>71</v>
      </c>
      <c r="C290" s="997"/>
      <c r="D290" s="1025" t="s">
        <v>756</v>
      </c>
      <c r="E290" s="1026">
        <v>0.55000000000000004</v>
      </c>
      <c r="F290" s="994">
        <f>'UPah &amp; Bahan oke'!H19</f>
        <v>250000</v>
      </c>
      <c r="G290" s="995">
        <f>E290*F290</f>
        <v>137500</v>
      </c>
    </row>
    <row r="291" spans="1:8" hidden="1" x14ac:dyDescent="0.25">
      <c r="A291" s="991"/>
      <c r="B291" s="1027" t="s">
        <v>757</v>
      </c>
      <c r="C291" s="997"/>
      <c r="D291" s="1028" t="s">
        <v>756</v>
      </c>
      <c r="E291" s="1029">
        <v>0.93</v>
      </c>
      <c r="F291" s="994">
        <f>'UPah &amp; Bahan oke'!H39</f>
        <v>480000</v>
      </c>
      <c r="G291" s="995">
        <f>E291*F291</f>
        <v>446400</v>
      </c>
    </row>
    <row r="292" spans="1:8" hidden="1" x14ac:dyDescent="0.25">
      <c r="A292" s="991"/>
      <c r="B292" s="1003" t="s">
        <v>73</v>
      </c>
      <c r="C292" s="999"/>
      <c r="D292" s="999" t="s">
        <v>592</v>
      </c>
      <c r="E292" s="1000">
        <v>200</v>
      </c>
      <c r="F292" s="994">
        <f>F272</f>
        <v>50</v>
      </c>
      <c r="G292" s="995">
        <f>E292*F292</f>
        <v>10000</v>
      </c>
    </row>
    <row r="293" spans="1:8" hidden="1" x14ac:dyDescent="0.25">
      <c r="A293" s="984"/>
      <c r="B293" s="985"/>
      <c r="C293" s="986"/>
      <c r="D293" s="986"/>
      <c r="E293" s="987" t="s">
        <v>563</v>
      </c>
      <c r="F293" s="988"/>
      <c r="G293" s="989">
        <f>SUM(G289:G292)</f>
        <v>927687.5</v>
      </c>
    </row>
    <row r="294" spans="1:8" hidden="1" x14ac:dyDescent="0.25">
      <c r="A294" s="990" t="s">
        <v>560</v>
      </c>
      <c r="B294" s="990" t="s">
        <v>561</v>
      </c>
      <c r="C294" s="997"/>
      <c r="D294" s="997"/>
      <c r="E294" s="998"/>
      <c r="F294" s="995"/>
      <c r="G294" s="995"/>
    </row>
    <row r="295" spans="1:8" hidden="1" x14ac:dyDescent="0.25">
      <c r="A295" s="984"/>
      <c r="B295" s="985"/>
      <c r="C295" s="986"/>
      <c r="D295" s="986"/>
      <c r="E295" s="987" t="s">
        <v>562</v>
      </c>
      <c r="F295" s="988"/>
      <c r="G295" s="989"/>
    </row>
    <row r="296" spans="1:8" hidden="1" x14ac:dyDescent="0.25">
      <c r="A296" s="984" t="s">
        <v>564</v>
      </c>
      <c r="B296" s="984" t="s">
        <v>565</v>
      </c>
      <c r="C296" s="986"/>
      <c r="D296" s="986"/>
      <c r="E296" s="987"/>
      <c r="F296" s="1001"/>
      <c r="G296" s="989">
        <f>SUM(G287+G293)</f>
        <v>1102687.5</v>
      </c>
    </row>
    <row r="297" spans="1:8" hidden="1" x14ac:dyDescent="0.25">
      <c r="A297" s="984" t="s">
        <v>566</v>
      </c>
      <c r="B297" s="984" t="s">
        <v>568</v>
      </c>
      <c r="C297" s="986"/>
      <c r="D297" s="986"/>
      <c r="E297" s="987"/>
      <c r="F297" s="1001"/>
      <c r="G297" s="989">
        <f>G296*0.15</f>
        <v>165403.125</v>
      </c>
    </row>
    <row r="298" spans="1:8" hidden="1" x14ac:dyDescent="0.25">
      <c r="A298" s="984" t="s">
        <v>567</v>
      </c>
      <c r="B298" s="984" t="s">
        <v>569</v>
      </c>
      <c r="C298" s="986"/>
      <c r="D298" s="986"/>
      <c r="E298" s="987"/>
      <c r="F298" s="1001"/>
      <c r="G298" s="1002">
        <f>SUM(G296:G297)</f>
        <v>1268090.625</v>
      </c>
    </row>
    <row r="299" spans="1:8" hidden="1" x14ac:dyDescent="0.25">
      <c r="A299" s="996"/>
      <c r="B299" s="996"/>
      <c r="C299" s="1004"/>
      <c r="D299" s="1004"/>
      <c r="E299" s="1005"/>
      <c r="F299" s="1006"/>
      <c r="G299" s="1007"/>
    </row>
    <row r="300" spans="1:8" s="651" customFormat="1" x14ac:dyDescent="0.25">
      <c r="A300" s="963" t="s">
        <v>625</v>
      </c>
      <c r="B300" s="964"/>
      <c r="C300" s="963" t="s">
        <v>1238</v>
      </c>
      <c r="D300" s="965"/>
      <c r="E300" s="966"/>
      <c r="F300" s="967"/>
      <c r="G300" s="967"/>
      <c r="H300" s="650"/>
    </row>
    <row r="301" spans="1:8" s="651" customFormat="1" x14ac:dyDescent="0.25">
      <c r="A301" s="968" t="s">
        <v>146</v>
      </c>
      <c r="B301" s="968" t="s">
        <v>550</v>
      </c>
      <c r="C301" s="969" t="s">
        <v>551</v>
      </c>
      <c r="D301" s="969" t="s">
        <v>552</v>
      </c>
      <c r="E301" s="970" t="s">
        <v>553</v>
      </c>
      <c r="F301" s="971" t="s">
        <v>554</v>
      </c>
      <c r="G301" s="971" t="s">
        <v>555</v>
      </c>
      <c r="H301" s="650"/>
    </row>
    <row r="302" spans="1:8" s="651" customFormat="1" x14ac:dyDescent="0.25">
      <c r="A302" s="972" t="s">
        <v>556</v>
      </c>
      <c r="B302" s="972" t="s">
        <v>15</v>
      </c>
      <c r="C302" s="973"/>
      <c r="D302" s="973"/>
      <c r="E302" s="974"/>
      <c r="F302" s="975"/>
      <c r="G302" s="975"/>
      <c r="H302" s="650"/>
    </row>
    <row r="303" spans="1:8" s="651" customFormat="1" x14ac:dyDescent="0.25">
      <c r="A303" s="976"/>
      <c r="B303" s="976" t="s">
        <v>17</v>
      </c>
      <c r="C303" s="977" t="s">
        <v>557</v>
      </c>
      <c r="D303" s="977" t="s">
        <v>242</v>
      </c>
      <c r="E303" s="978">
        <v>2.1</v>
      </c>
      <c r="F303" s="979">
        <f>F263</f>
        <v>110000</v>
      </c>
      <c r="G303" s="979">
        <f>E303*F303</f>
        <v>231000</v>
      </c>
      <c r="H303" s="650"/>
    </row>
    <row r="304" spans="1:8" s="651" customFormat="1" x14ac:dyDescent="0.25">
      <c r="A304" s="980"/>
      <c r="B304" s="980" t="s">
        <v>595</v>
      </c>
      <c r="C304" s="981" t="s">
        <v>581</v>
      </c>
      <c r="D304" s="981" t="s">
        <v>242</v>
      </c>
      <c r="E304" s="982">
        <v>1.4</v>
      </c>
      <c r="F304" s="983">
        <f>F264</f>
        <v>153000</v>
      </c>
      <c r="G304" s="979">
        <f>E304*F304</f>
        <v>214200</v>
      </c>
      <c r="H304" s="650"/>
    </row>
    <row r="305" spans="1:8" s="651" customFormat="1" x14ac:dyDescent="0.25">
      <c r="A305" s="980"/>
      <c r="B305" s="980" t="s">
        <v>18</v>
      </c>
      <c r="C305" s="981" t="s">
        <v>582</v>
      </c>
      <c r="D305" s="981" t="s">
        <v>242</v>
      </c>
      <c r="E305" s="982">
        <v>0.14000000000000001</v>
      </c>
      <c r="F305" s="983">
        <f>F265</f>
        <v>170000</v>
      </c>
      <c r="G305" s="979">
        <f>E305*F305</f>
        <v>23800.000000000004</v>
      </c>
      <c r="H305" s="650"/>
    </row>
    <row r="306" spans="1:8" s="651" customFormat="1" x14ac:dyDescent="0.25">
      <c r="A306" s="980"/>
      <c r="B306" s="980" t="s">
        <v>19</v>
      </c>
      <c r="C306" s="981" t="s">
        <v>558</v>
      </c>
      <c r="D306" s="981" t="s">
        <v>242</v>
      </c>
      <c r="E306" s="982">
        <v>0.21</v>
      </c>
      <c r="F306" s="983">
        <f>F266</f>
        <v>150000</v>
      </c>
      <c r="G306" s="979">
        <f>E306*F306</f>
        <v>31500</v>
      </c>
      <c r="H306" s="650"/>
    </row>
    <row r="307" spans="1:8" s="651" customFormat="1" x14ac:dyDescent="0.25">
      <c r="A307" s="984"/>
      <c r="B307" s="985"/>
      <c r="C307" s="986"/>
      <c r="D307" s="986"/>
      <c r="E307" s="987" t="s">
        <v>559</v>
      </c>
      <c r="F307" s="988"/>
      <c r="G307" s="989">
        <f>SUM(G303:G306)</f>
        <v>500500</v>
      </c>
      <c r="H307" s="650"/>
    </row>
    <row r="308" spans="1:8" s="651" customFormat="1" x14ac:dyDescent="0.25">
      <c r="A308" s="972" t="s">
        <v>1</v>
      </c>
      <c r="B308" s="972" t="s">
        <v>5</v>
      </c>
      <c r="C308" s="973"/>
      <c r="D308" s="973"/>
      <c r="E308" s="974"/>
      <c r="F308" s="975"/>
      <c r="G308" s="975"/>
      <c r="H308" s="650"/>
    </row>
    <row r="309" spans="1:8" s="651" customFormat="1" x14ac:dyDescent="0.25">
      <c r="A309" s="991"/>
      <c r="B309" s="990" t="s">
        <v>596</v>
      </c>
      <c r="C309" s="997"/>
      <c r="D309" s="997" t="s">
        <v>12</v>
      </c>
      <c r="E309" s="998">
        <v>105</v>
      </c>
      <c r="F309" s="994">
        <f>'UPah &amp; Bahan oke'!H34</f>
        <v>13000</v>
      </c>
      <c r="G309" s="995">
        <f>E309*F309</f>
        <v>1365000</v>
      </c>
      <c r="H309" s="650"/>
    </row>
    <row r="310" spans="1:8" s="651" customFormat="1" x14ac:dyDescent="0.25">
      <c r="A310" s="1011"/>
      <c r="B310" s="1011" t="s">
        <v>626</v>
      </c>
      <c r="C310" s="1012"/>
      <c r="D310" s="1012"/>
      <c r="E310" s="1013">
        <v>2.1</v>
      </c>
      <c r="F310" s="1014">
        <f>'UPah &amp; Bahan oke'!H35</f>
        <v>26000</v>
      </c>
      <c r="G310" s="1015">
        <f>E310*F310</f>
        <v>54600</v>
      </c>
      <c r="H310" s="650"/>
    </row>
    <row r="311" spans="1:8" s="651" customFormat="1" x14ac:dyDescent="0.25">
      <c r="A311" s="984"/>
      <c r="B311" s="985"/>
      <c r="C311" s="986"/>
      <c r="D311" s="986"/>
      <c r="E311" s="987" t="s">
        <v>563</v>
      </c>
      <c r="F311" s="988"/>
      <c r="G311" s="989">
        <f>SUM(G309:G310)</f>
        <v>1419600</v>
      </c>
      <c r="H311" s="650"/>
    </row>
    <row r="312" spans="1:8" s="651" customFormat="1" x14ac:dyDescent="0.25">
      <c r="A312" s="990" t="s">
        <v>560</v>
      </c>
      <c r="B312" s="990" t="s">
        <v>561</v>
      </c>
      <c r="C312" s="997"/>
      <c r="D312" s="997"/>
      <c r="E312" s="998"/>
      <c r="F312" s="995"/>
      <c r="G312" s="995"/>
      <c r="H312" s="650"/>
    </row>
    <row r="313" spans="1:8" s="651" customFormat="1" x14ac:dyDescent="0.25">
      <c r="A313" s="984"/>
      <c r="B313" s="985"/>
      <c r="C313" s="986"/>
      <c r="D313" s="986"/>
      <c r="E313" s="987" t="s">
        <v>562</v>
      </c>
      <c r="F313" s="988"/>
      <c r="G313" s="989"/>
      <c r="H313" s="650"/>
    </row>
    <row r="314" spans="1:8" s="651" customFormat="1" x14ac:dyDescent="0.25">
      <c r="A314" s="984" t="s">
        <v>564</v>
      </c>
      <c r="B314" s="984" t="s">
        <v>565</v>
      </c>
      <c r="C314" s="986"/>
      <c r="D314" s="986"/>
      <c r="E314" s="987"/>
      <c r="F314" s="1001"/>
      <c r="G314" s="989">
        <f>SUM(G307+G311)</f>
        <v>1920100</v>
      </c>
      <c r="H314" s="650"/>
    </row>
    <row r="315" spans="1:8" s="651" customFormat="1" x14ac:dyDescent="0.25">
      <c r="A315" s="984" t="s">
        <v>566</v>
      </c>
      <c r="B315" s="984" t="s">
        <v>568</v>
      </c>
      <c r="C315" s="986"/>
      <c r="D315" s="986"/>
      <c r="E315" s="987"/>
      <c r="F315" s="1001"/>
      <c r="G315" s="989">
        <f>G314*0.15</f>
        <v>288015</v>
      </c>
      <c r="H315" s="650"/>
    </row>
    <row r="316" spans="1:8" s="651" customFormat="1" x14ac:dyDescent="0.25">
      <c r="A316" s="984" t="s">
        <v>567</v>
      </c>
      <c r="B316" s="984" t="s">
        <v>569</v>
      </c>
      <c r="C316" s="986"/>
      <c r="D316" s="986"/>
      <c r="E316" s="987"/>
      <c r="F316" s="1001"/>
      <c r="G316" s="1002">
        <f>SUM(G314:G315)</f>
        <v>2208115</v>
      </c>
      <c r="H316" s="650"/>
    </row>
    <row r="317" spans="1:8" s="651" customFormat="1" x14ac:dyDescent="0.25">
      <c r="A317" s="984" t="s">
        <v>633</v>
      </c>
      <c r="B317" s="984" t="s">
        <v>627</v>
      </c>
      <c r="C317" s="986"/>
      <c r="D317" s="986"/>
      <c r="E317" s="987"/>
      <c r="F317" s="1001"/>
      <c r="G317" s="1002">
        <f>G316/100</f>
        <v>22081.15</v>
      </c>
      <c r="H317" s="650"/>
    </row>
    <row r="318" spans="1:8" s="651" customFormat="1" x14ac:dyDescent="0.25">
      <c r="A318" s="963" t="s">
        <v>640</v>
      </c>
      <c r="B318" s="964"/>
      <c r="C318" s="963" t="s">
        <v>910</v>
      </c>
      <c r="D318" s="965"/>
      <c r="E318" s="966"/>
      <c r="F318" s="967"/>
      <c r="G318" s="967"/>
      <c r="H318" s="650"/>
    </row>
    <row r="319" spans="1:8" s="651" customFormat="1" x14ac:dyDescent="0.25">
      <c r="A319" s="968" t="s">
        <v>146</v>
      </c>
      <c r="B319" s="968" t="s">
        <v>550</v>
      </c>
      <c r="C319" s="969" t="s">
        <v>551</v>
      </c>
      <c r="D319" s="969" t="s">
        <v>552</v>
      </c>
      <c r="E319" s="970" t="s">
        <v>553</v>
      </c>
      <c r="F319" s="971" t="s">
        <v>554</v>
      </c>
      <c r="G319" s="971" t="s">
        <v>555</v>
      </c>
      <c r="H319" s="650"/>
    </row>
    <row r="320" spans="1:8" s="651" customFormat="1" x14ac:dyDescent="0.25">
      <c r="A320" s="972" t="s">
        <v>556</v>
      </c>
      <c r="B320" s="972" t="s">
        <v>15</v>
      </c>
      <c r="C320" s="973"/>
      <c r="D320" s="973"/>
      <c r="E320" s="974"/>
      <c r="F320" s="975"/>
      <c r="G320" s="975"/>
      <c r="H320" s="650"/>
    </row>
    <row r="321" spans="1:8" s="651" customFormat="1" x14ac:dyDescent="0.25">
      <c r="A321" s="976"/>
      <c r="B321" s="976" t="s">
        <v>17</v>
      </c>
      <c r="C321" s="977" t="s">
        <v>557</v>
      </c>
      <c r="D321" s="977" t="s">
        <v>242</v>
      </c>
      <c r="E321" s="978">
        <v>0.3</v>
      </c>
      <c r="F321" s="979">
        <f>F303</f>
        <v>110000</v>
      </c>
      <c r="G321" s="979">
        <f>E321*F321</f>
        <v>33000</v>
      </c>
      <c r="H321" s="650"/>
    </row>
    <row r="322" spans="1:8" s="651" customFormat="1" x14ac:dyDescent="0.25">
      <c r="A322" s="980"/>
      <c r="B322" s="980" t="s">
        <v>51</v>
      </c>
      <c r="C322" s="981" t="s">
        <v>581</v>
      </c>
      <c r="D322" s="981" t="s">
        <v>242</v>
      </c>
      <c r="E322" s="982">
        <v>0.15</v>
      </c>
      <c r="F322" s="979">
        <f>F304</f>
        <v>153000</v>
      </c>
      <c r="G322" s="979">
        <f>E322*F322</f>
        <v>22950</v>
      </c>
      <c r="H322" s="650"/>
    </row>
    <row r="323" spans="1:8" s="651" customFormat="1" x14ac:dyDescent="0.25">
      <c r="A323" s="980"/>
      <c r="B323" s="980" t="s">
        <v>18</v>
      </c>
      <c r="C323" s="981" t="s">
        <v>582</v>
      </c>
      <c r="D323" s="981" t="s">
        <v>242</v>
      </c>
      <c r="E323" s="982">
        <v>1.4999999999999999E-2</v>
      </c>
      <c r="F323" s="979">
        <f>F305</f>
        <v>170000</v>
      </c>
      <c r="G323" s="979">
        <f>E323*F323</f>
        <v>2550</v>
      </c>
      <c r="H323" s="650"/>
    </row>
    <row r="324" spans="1:8" s="651" customFormat="1" x14ac:dyDescent="0.25">
      <c r="A324" s="980"/>
      <c r="B324" s="980" t="s">
        <v>19</v>
      </c>
      <c r="C324" s="981" t="s">
        <v>558</v>
      </c>
      <c r="D324" s="981" t="s">
        <v>242</v>
      </c>
      <c r="E324" s="982">
        <v>0.03</v>
      </c>
      <c r="F324" s="979">
        <f>F306</f>
        <v>150000</v>
      </c>
      <c r="G324" s="979">
        <f>E324*F324</f>
        <v>4500</v>
      </c>
      <c r="H324" s="650"/>
    </row>
    <row r="325" spans="1:8" s="651" customFormat="1" x14ac:dyDescent="0.25">
      <c r="A325" s="984"/>
      <c r="B325" s="985"/>
      <c r="C325" s="986"/>
      <c r="D325" s="986"/>
      <c r="E325" s="987" t="s">
        <v>559</v>
      </c>
      <c r="F325" s="988"/>
      <c r="G325" s="989">
        <f>SUM(G321:G324)</f>
        <v>63000</v>
      </c>
      <c r="H325" s="650"/>
    </row>
    <row r="326" spans="1:8" s="651" customFormat="1" x14ac:dyDescent="0.25">
      <c r="A326" s="972" t="s">
        <v>1</v>
      </c>
      <c r="B326" s="972" t="s">
        <v>5</v>
      </c>
      <c r="C326" s="973"/>
      <c r="D326" s="973"/>
      <c r="E326" s="974"/>
      <c r="F326" s="975"/>
      <c r="G326" s="975"/>
      <c r="H326" s="650"/>
    </row>
    <row r="327" spans="1:8" s="651" customFormat="1" x14ac:dyDescent="0.25">
      <c r="A327" s="991"/>
      <c r="B327" s="1033" t="s">
        <v>908</v>
      </c>
      <c r="C327" s="997"/>
      <c r="D327" s="997" t="s">
        <v>89</v>
      </c>
      <c r="E327" s="998">
        <v>0.128</v>
      </c>
      <c r="F327" s="994">
        <f>'UPah &amp; Bahan oke'!$H$32</f>
        <v>317500</v>
      </c>
      <c r="G327" s="995">
        <f>E327*F327</f>
        <v>40640</v>
      </c>
      <c r="H327" s="650"/>
    </row>
    <row r="328" spans="1:8" s="651" customFormat="1" x14ac:dyDescent="0.25">
      <c r="A328" s="991"/>
      <c r="B328" s="1033" t="s">
        <v>641</v>
      </c>
      <c r="C328" s="997"/>
      <c r="D328" s="997" t="s">
        <v>7</v>
      </c>
      <c r="E328" s="998">
        <v>8.9999999999999993E-3</v>
      </c>
      <c r="F328" s="994">
        <f>'UPah &amp; Bahan oke'!H45</f>
        <v>3137142</v>
      </c>
      <c r="G328" s="995">
        <f>E328*F328</f>
        <v>28234.277999999998</v>
      </c>
      <c r="H328" s="650"/>
    </row>
    <row r="329" spans="1:8" s="651" customFormat="1" x14ac:dyDescent="0.25">
      <c r="A329" s="991"/>
      <c r="B329" s="990" t="s">
        <v>599</v>
      </c>
      <c r="C329" s="997"/>
      <c r="D329" s="997" t="s">
        <v>12</v>
      </c>
      <c r="E329" s="998">
        <v>0.3</v>
      </c>
      <c r="F329" s="994">
        <f>'UPah &amp; Bahan oke'!H37</f>
        <v>20000</v>
      </c>
      <c r="G329" s="995">
        <f>E329*F329</f>
        <v>6000</v>
      </c>
      <c r="H329" s="650"/>
    </row>
    <row r="330" spans="1:8" s="651" customFormat="1" x14ac:dyDescent="0.25">
      <c r="A330" s="1003"/>
      <c r="B330" s="1003" t="s">
        <v>600</v>
      </c>
      <c r="C330" s="999"/>
      <c r="D330" s="999" t="s">
        <v>141</v>
      </c>
      <c r="E330" s="1000">
        <v>0.2</v>
      </c>
      <c r="F330" s="994">
        <f>'UPah &amp; Bahan oke'!H38</f>
        <v>22000</v>
      </c>
      <c r="G330" s="995">
        <f>E330*F330</f>
        <v>4400</v>
      </c>
      <c r="H330" s="650"/>
    </row>
    <row r="331" spans="1:8" s="651" customFormat="1" x14ac:dyDescent="0.25">
      <c r="A331" s="991"/>
      <c r="B331" s="985"/>
      <c r="C331" s="986"/>
      <c r="D331" s="986"/>
      <c r="E331" s="987" t="s">
        <v>563</v>
      </c>
      <c r="F331" s="988"/>
      <c r="G331" s="989">
        <f>SUM(G327:G330)</f>
        <v>79274.277999999991</v>
      </c>
      <c r="H331" s="650"/>
    </row>
    <row r="332" spans="1:8" s="651" customFormat="1" x14ac:dyDescent="0.25">
      <c r="A332" s="984"/>
      <c r="B332" s="990" t="s">
        <v>561</v>
      </c>
      <c r="C332" s="997"/>
      <c r="D332" s="997"/>
      <c r="E332" s="998"/>
      <c r="F332" s="995"/>
      <c r="G332" s="995"/>
      <c r="H332" s="650"/>
    </row>
    <row r="333" spans="1:8" s="651" customFormat="1" x14ac:dyDescent="0.25">
      <c r="A333" s="990" t="s">
        <v>560</v>
      </c>
      <c r="B333" s="985"/>
      <c r="C333" s="986"/>
      <c r="D333" s="986"/>
      <c r="E333" s="987" t="s">
        <v>562</v>
      </c>
      <c r="F333" s="988"/>
      <c r="G333" s="989"/>
      <c r="H333" s="650"/>
    </row>
    <row r="334" spans="1:8" s="651" customFormat="1" x14ac:dyDescent="0.25">
      <c r="A334" s="984" t="s">
        <v>564</v>
      </c>
      <c r="B334" s="984" t="s">
        <v>565</v>
      </c>
      <c r="C334" s="986"/>
      <c r="D334" s="986"/>
      <c r="E334" s="987"/>
      <c r="F334" s="1001"/>
      <c r="G334" s="989">
        <f>SUM(G325+G331)</f>
        <v>142274.27799999999</v>
      </c>
      <c r="H334" s="650"/>
    </row>
    <row r="335" spans="1:8" s="651" customFormat="1" x14ac:dyDescent="0.25">
      <c r="A335" s="984" t="s">
        <v>566</v>
      </c>
      <c r="B335" s="984" t="s">
        <v>568</v>
      </c>
      <c r="C335" s="986"/>
      <c r="D335" s="986"/>
      <c r="E335" s="987"/>
      <c r="F335" s="1001"/>
      <c r="G335" s="989">
        <f>G334*0.15</f>
        <v>21341.141699999996</v>
      </c>
      <c r="H335" s="650"/>
    </row>
    <row r="336" spans="1:8" s="651" customFormat="1" x14ac:dyDescent="0.25">
      <c r="A336" s="984" t="s">
        <v>567</v>
      </c>
      <c r="B336" s="984" t="s">
        <v>569</v>
      </c>
      <c r="C336" s="986"/>
      <c r="D336" s="986"/>
      <c r="E336" s="987"/>
      <c r="F336" s="1001"/>
      <c r="G336" s="1002">
        <f>SUM(G334:G335)</f>
        <v>163615.4197</v>
      </c>
      <c r="H336" s="650"/>
    </row>
    <row r="337" spans="1:8" s="651" customFormat="1" x14ac:dyDescent="0.25">
      <c r="A337" s="963" t="s">
        <v>632</v>
      </c>
      <c r="B337" s="964"/>
      <c r="C337" s="963" t="s">
        <v>909</v>
      </c>
      <c r="D337" s="965"/>
      <c r="E337" s="966"/>
      <c r="F337" s="967"/>
      <c r="G337" s="967"/>
      <c r="H337" s="650"/>
    </row>
    <row r="338" spans="1:8" s="651" customFormat="1" ht="18.75" customHeight="1" x14ac:dyDescent="0.25">
      <c r="A338" s="1034" t="s">
        <v>146</v>
      </c>
      <c r="B338" s="968" t="s">
        <v>550</v>
      </c>
      <c r="C338" s="969" t="s">
        <v>551</v>
      </c>
      <c r="D338" s="969" t="s">
        <v>552</v>
      </c>
      <c r="E338" s="970" t="s">
        <v>553</v>
      </c>
      <c r="F338" s="971" t="s">
        <v>554</v>
      </c>
      <c r="G338" s="971" t="s">
        <v>555</v>
      </c>
      <c r="H338" s="650"/>
    </row>
    <row r="339" spans="1:8" s="651" customFormat="1" ht="24" customHeight="1" x14ac:dyDescent="0.25">
      <c r="A339" s="968" t="s">
        <v>556</v>
      </c>
      <c r="B339" s="972" t="s">
        <v>15</v>
      </c>
      <c r="C339" s="973"/>
      <c r="D339" s="973"/>
      <c r="E339" s="974"/>
      <c r="F339" s="975"/>
      <c r="G339" s="975"/>
      <c r="H339" s="650"/>
    </row>
    <row r="340" spans="1:8" s="651" customFormat="1" x14ac:dyDescent="0.25">
      <c r="A340" s="972"/>
      <c r="B340" s="976" t="s">
        <v>17</v>
      </c>
      <c r="C340" s="977" t="s">
        <v>557</v>
      </c>
      <c r="D340" s="977" t="s">
        <v>242</v>
      </c>
      <c r="E340" s="978">
        <v>0.34</v>
      </c>
      <c r="F340" s="979">
        <f>F321</f>
        <v>110000</v>
      </c>
      <c r="G340" s="979">
        <f>E340*F340</f>
        <v>37400</v>
      </c>
      <c r="H340" s="650"/>
    </row>
    <row r="341" spans="1:8" s="651" customFormat="1" x14ac:dyDescent="0.25">
      <c r="A341" s="976"/>
      <c r="B341" s="980" t="s">
        <v>51</v>
      </c>
      <c r="C341" s="981" t="s">
        <v>581</v>
      </c>
      <c r="D341" s="981" t="s">
        <v>242</v>
      </c>
      <c r="E341" s="982">
        <v>0.17</v>
      </c>
      <c r="F341" s="979">
        <f>F322</f>
        <v>153000</v>
      </c>
      <c r="G341" s="979">
        <f>E341*F341</f>
        <v>26010.000000000004</v>
      </c>
      <c r="H341" s="650"/>
    </row>
    <row r="342" spans="1:8" s="651" customFormat="1" x14ac:dyDescent="0.25">
      <c r="A342" s="980"/>
      <c r="B342" s="980" t="s">
        <v>18</v>
      </c>
      <c r="C342" s="981" t="s">
        <v>582</v>
      </c>
      <c r="D342" s="981" t="s">
        <v>242</v>
      </c>
      <c r="E342" s="982">
        <v>1.7000000000000001E-2</v>
      </c>
      <c r="F342" s="979">
        <f>F323</f>
        <v>170000</v>
      </c>
      <c r="G342" s="979">
        <f>E342*F342</f>
        <v>2890</v>
      </c>
      <c r="H342" s="650"/>
    </row>
    <row r="343" spans="1:8" s="651" customFormat="1" x14ac:dyDescent="0.25">
      <c r="A343" s="980"/>
      <c r="B343" s="980" t="s">
        <v>19</v>
      </c>
      <c r="C343" s="981" t="s">
        <v>558</v>
      </c>
      <c r="D343" s="981" t="s">
        <v>242</v>
      </c>
      <c r="E343" s="982">
        <v>3.4000000000000002E-2</v>
      </c>
      <c r="F343" s="979">
        <f>F324</f>
        <v>150000</v>
      </c>
      <c r="G343" s="979">
        <f>E343*F343</f>
        <v>5100</v>
      </c>
      <c r="H343" s="650"/>
    </row>
    <row r="344" spans="1:8" s="651" customFormat="1" x14ac:dyDescent="0.25">
      <c r="A344" s="980"/>
      <c r="B344" s="985"/>
      <c r="C344" s="986"/>
      <c r="D344" s="986"/>
      <c r="E344" s="987" t="s">
        <v>559</v>
      </c>
      <c r="F344" s="988"/>
      <c r="G344" s="989">
        <f>SUM(G340:G343)</f>
        <v>71400</v>
      </c>
      <c r="H344" s="650"/>
    </row>
    <row r="345" spans="1:8" s="651" customFormat="1" x14ac:dyDescent="0.25">
      <c r="A345" s="1035" t="s">
        <v>1</v>
      </c>
      <c r="B345" s="1016" t="s">
        <v>5</v>
      </c>
      <c r="C345" s="992"/>
      <c r="D345" s="992"/>
      <c r="E345" s="993"/>
      <c r="F345" s="1017"/>
      <c r="G345" s="1017"/>
      <c r="H345" s="650"/>
    </row>
    <row r="346" spans="1:8" s="651" customFormat="1" x14ac:dyDescent="0.25">
      <c r="A346" s="972"/>
      <c r="B346" s="1019" t="s">
        <v>908</v>
      </c>
      <c r="C346" s="973"/>
      <c r="D346" s="973" t="s">
        <v>89</v>
      </c>
      <c r="E346" s="974">
        <v>0.128</v>
      </c>
      <c r="F346" s="1020">
        <f>F327</f>
        <v>317500</v>
      </c>
      <c r="G346" s="975">
        <f>E346*F346</f>
        <v>40640</v>
      </c>
      <c r="H346" s="650"/>
    </row>
    <row r="347" spans="1:8" s="651" customFormat="1" x14ac:dyDescent="0.25">
      <c r="A347" s="1008"/>
      <c r="B347" s="976" t="s">
        <v>598</v>
      </c>
      <c r="C347" s="977"/>
      <c r="D347" s="977" t="s">
        <v>506</v>
      </c>
      <c r="E347" s="978">
        <v>6.0000000000000001E-3</v>
      </c>
      <c r="F347" s="1009">
        <f>'UPah &amp; Bahan oke'!H45</f>
        <v>3137142</v>
      </c>
      <c r="G347" s="979">
        <f>E347*F347</f>
        <v>18822.851999999999</v>
      </c>
      <c r="H347" s="650"/>
    </row>
    <row r="348" spans="1:8" s="651" customFormat="1" x14ac:dyDescent="0.25">
      <c r="A348" s="1008"/>
      <c r="B348" s="976" t="s">
        <v>599</v>
      </c>
      <c r="C348" s="977"/>
      <c r="D348" s="977" t="s">
        <v>12</v>
      </c>
      <c r="E348" s="978">
        <v>0.3</v>
      </c>
      <c r="F348" s="1009">
        <f>F329</f>
        <v>20000</v>
      </c>
      <c r="G348" s="979">
        <f>E348*F348</f>
        <v>6000</v>
      </c>
      <c r="H348" s="650"/>
    </row>
    <row r="349" spans="1:8" s="651" customFormat="1" x14ac:dyDescent="0.25">
      <c r="A349" s="1010"/>
      <c r="B349" s="1011" t="s">
        <v>600</v>
      </c>
      <c r="C349" s="1012"/>
      <c r="D349" s="1012" t="s">
        <v>141</v>
      </c>
      <c r="E349" s="1013">
        <v>0.2</v>
      </c>
      <c r="F349" s="1014">
        <f>F330</f>
        <v>22000</v>
      </c>
      <c r="G349" s="1015">
        <f>E349*F349</f>
        <v>4400</v>
      </c>
      <c r="H349" s="650"/>
    </row>
    <row r="350" spans="1:8" s="651" customFormat="1" x14ac:dyDescent="0.25">
      <c r="A350" s="991"/>
      <c r="B350" s="1030"/>
      <c r="C350" s="1031"/>
      <c r="D350" s="1031"/>
      <c r="E350" s="1032" t="s">
        <v>563</v>
      </c>
      <c r="F350" s="1036"/>
      <c r="G350" s="1037">
        <f>SUM(G346:G349)</f>
        <v>69862.851999999999</v>
      </c>
      <c r="H350" s="650"/>
    </row>
    <row r="351" spans="1:8" s="651" customFormat="1" x14ac:dyDescent="0.25">
      <c r="A351" s="984"/>
      <c r="B351" s="990" t="s">
        <v>561</v>
      </c>
      <c r="C351" s="997"/>
      <c r="D351" s="997"/>
      <c r="E351" s="998"/>
      <c r="F351" s="995"/>
      <c r="G351" s="995"/>
      <c r="H351" s="650"/>
    </row>
    <row r="352" spans="1:8" s="651" customFormat="1" x14ac:dyDescent="0.25">
      <c r="A352" s="990" t="s">
        <v>560</v>
      </c>
      <c r="B352" s="985"/>
      <c r="C352" s="986"/>
      <c r="D352" s="986"/>
      <c r="E352" s="987" t="s">
        <v>562</v>
      </c>
      <c r="F352" s="988"/>
      <c r="G352" s="989"/>
      <c r="H352" s="650"/>
    </row>
    <row r="353" spans="1:8" s="651" customFormat="1" x14ac:dyDescent="0.25">
      <c r="A353" s="984"/>
      <c r="B353" s="984" t="s">
        <v>565</v>
      </c>
      <c r="C353" s="986"/>
      <c r="D353" s="986"/>
      <c r="E353" s="987"/>
      <c r="F353" s="1001"/>
      <c r="G353" s="989">
        <f>SUM(G344+G350)</f>
        <v>141262.85200000001</v>
      </c>
      <c r="H353" s="650"/>
    </row>
    <row r="354" spans="1:8" s="651" customFormat="1" x14ac:dyDescent="0.25">
      <c r="A354" s="984" t="s">
        <v>564</v>
      </c>
      <c r="B354" s="984" t="s">
        <v>568</v>
      </c>
      <c r="C354" s="986"/>
      <c r="D354" s="986"/>
      <c r="E354" s="987"/>
      <c r="F354" s="1001"/>
      <c r="G354" s="989">
        <f>G353*0.15</f>
        <v>21189.427800000001</v>
      </c>
      <c r="H354" s="650"/>
    </row>
    <row r="355" spans="1:8" s="651" customFormat="1" x14ac:dyDescent="0.25">
      <c r="A355" s="984" t="s">
        <v>566</v>
      </c>
      <c r="B355" s="984" t="s">
        <v>569</v>
      </c>
      <c r="C355" s="986"/>
      <c r="D355" s="986"/>
      <c r="E355" s="987"/>
      <c r="F355" s="1001"/>
      <c r="G355" s="1002">
        <f>SUM(G353:G354)</f>
        <v>162452.27980000002</v>
      </c>
      <c r="H355" s="650"/>
    </row>
    <row r="356" spans="1:8" ht="19.5" customHeight="1" x14ac:dyDescent="0.25">
      <c r="A356" s="963" t="s">
        <v>642</v>
      </c>
      <c r="B356" s="964"/>
      <c r="C356" s="963" t="s">
        <v>643</v>
      </c>
      <c r="D356" s="965"/>
      <c r="E356" s="966"/>
      <c r="F356" s="967"/>
      <c r="G356" s="967"/>
    </row>
    <row r="357" spans="1:8" x14ac:dyDescent="0.25">
      <c r="A357" s="1034" t="s">
        <v>146</v>
      </c>
      <c r="B357" s="968" t="s">
        <v>550</v>
      </c>
      <c r="C357" s="969" t="s">
        <v>551</v>
      </c>
      <c r="D357" s="969" t="s">
        <v>552</v>
      </c>
      <c r="E357" s="970" t="s">
        <v>553</v>
      </c>
      <c r="F357" s="971" t="s">
        <v>554</v>
      </c>
      <c r="G357" s="971" t="s">
        <v>555</v>
      </c>
    </row>
    <row r="358" spans="1:8" ht="29.25" customHeight="1" x14ac:dyDescent="0.25">
      <c r="A358" s="968" t="s">
        <v>556</v>
      </c>
      <c r="B358" s="972" t="s">
        <v>15</v>
      </c>
      <c r="C358" s="973"/>
      <c r="D358" s="973"/>
      <c r="E358" s="974"/>
      <c r="F358" s="975"/>
      <c r="G358" s="975"/>
    </row>
    <row r="359" spans="1:8" x14ac:dyDescent="0.25">
      <c r="A359" s="972"/>
      <c r="B359" s="976" t="s">
        <v>17</v>
      </c>
      <c r="C359" s="977" t="s">
        <v>557</v>
      </c>
      <c r="D359" s="977" t="s">
        <v>242</v>
      </c>
      <c r="E359" s="978">
        <v>0.06</v>
      </c>
      <c r="F359" s="979">
        <f>$F$340</f>
        <v>110000</v>
      </c>
      <c r="G359" s="979">
        <f>E359*F359</f>
        <v>6600</v>
      </c>
    </row>
    <row r="360" spans="1:8" x14ac:dyDescent="0.25">
      <c r="A360" s="976"/>
      <c r="B360" s="980" t="s">
        <v>51</v>
      </c>
      <c r="C360" s="981" t="s">
        <v>581</v>
      </c>
      <c r="D360" s="981" t="s">
        <v>242</v>
      </c>
      <c r="E360" s="982">
        <v>0.6</v>
      </c>
      <c r="F360" s="979">
        <f>$F$341</f>
        <v>153000</v>
      </c>
      <c r="G360" s="979">
        <f>E360*F360</f>
        <v>91800</v>
      </c>
    </row>
    <row r="361" spans="1:8" x14ac:dyDescent="0.25">
      <c r="A361" s="980"/>
      <c r="B361" s="980" t="s">
        <v>18</v>
      </c>
      <c r="C361" s="981" t="s">
        <v>582</v>
      </c>
      <c r="D361" s="981" t="s">
        <v>242</v>
      </c>
      <c r="E361" s="982">
        <v>0.06</v>
      </c>
      <c r="F361" s="979">
        <f>$F$342</f>
        <v>170000</v>
      </c>
      <c r="G361" s="979">
        <f>E361*F361</f>
        <v>10200</v>
      </c>
    </row>
    <row r="362" spans="1:8" x14ac:dyDescent="0.25">
      <c r="A362" s="980"/>
      <c r="B362" s="980" t="s">
        <v>19</v>
      </c>
      <c r="C362" s="981" t="s">
        <v>558</v>
      </c>
      <c r="D362" s="981" t="s">
        <v>242</v>
      </c>
      <c r="E362" s="982">
        <v>0.03</v>
      </c>
      <c r="F362" s="979">
        <f>$F$343</f>
        <v>150000</v>
      </c>
      <c r="G362" s="979">
        <f>E362*F362</f>
        <v>4500</v>
      </c>
    </row>
    <row r="363" spans="1:8" x14ac:dyDescent="0.25">
      <c r="A363" s="980"/>
      <c r="B363" s="985"/>
      <c r="C363" s="986"/>
      <c r="D363" s="986"/>
      <c r="E363" s="987" t="s">
        <v>559</v>
      </c>
      <c r="F363" s="988"/>
      <c r="G363" s="989">
        <f>SUM(G359:G362)</f>
        <v>113100</v>
      </c>
    </row>
    <row r="364" spans="1:8" x14ac:dyDescent="0.25">
      <c r="A364" s="1035" t="s">
        <v>1</v>
      </c>
      <c r="B364" s="1016" t="s">
        <v>5</v>
      </c>
      <c r="C364" s="992"/>
      <c r="D364" s="992"/>
      <c r="E364" s="993"/>
      <c r="F364" s="1017"/>
      <c r="G364" s="1017"/>
    </row>
    <row r="365" spans="1:8" x14ac:dyDescent="0.25">
      <c r="A365" s="1016"/>
      <c r="B365" s="1038" t="s">
        <v>644</v>
      </c>
      <c r="C365" s="992"/>
      <c r="D365" s="992" t="s">
        <v>235</v>
      </c>
      <c r="E365" s="993">
        <v>1</v>
      </c>
      <c r="F365" s="1039">
        <f>'UPah &amp; Bahan oke'!H66</f>
        <v>3000000</v>
      </c>
      <c r="G365" s="1017">
        <f>E365*F365</f>
        <v>3000000</v>
      </c>
    </row>
    <row r="366" spans="1:8" x14ac:dyDescent="0.25">
      <c r="A366" s="984"/>
      <c r="B366" s="985"/>
      <c r="C366" s="986"/>
      <c r="D366" s="986"/>
      <c r="E366" s="987" t="s">
        <v>563</v>
      </c>
      <c r="F366" s="988"/>
      <c r="G366" s="989">
        <f>SUM(G365:G365)</f>
        <v>3000000</v>
      </c>
    </row>
    <row r="367" spans="1:8" x14ac:dyDescent="0.25">
      <c r="A367" s="984"/>
      <c r="B367" s="990" t="s">
        <v>561</v>
      </c>
      <c r="C367" s="997"/>
      <c r="D367" s="997"/>
      <c r="E367" s="998"/>
      <c r="F367" s="995"/>
      <c r="G367" s="995"/>
    </row>
    <row r="368" spans="1:8" x14ac:dyDescent="0.25">
      <c r="A368" s="990" t="s">
        <v>560</v>
      </c>
      <c r="B368" s="985"/>
      <c r="C368" s="986"/>
      <c r="D368" s="986"/>
      <c r="E368" s="987" t="s">
        <v>562</v>
      </c>
      <c r="F368" s="988"/>
      <c r="G368" s="989"/>
    </row>
    <row r="369" spans="1:17" x14ac:dyDescent="0.25">
      <c r="A369" s="984"/>
      <c r="B369" s="984" t="s">
        <v>565</v>
      </c>
      <c r="C369" s="986"/>
      <c r="D369" s="986"/>
      <c r="E369" s="987"/>
      <c r="F369" s="1001"/>
      <c r="G369" s="989">
        <f>SUM(G363+G366)</f>
        <v>3113100</v>
      </c>
    </row>
    <row r="370" spans="1:17" x14ac:dyDescent="0.25">
      <c r="A370" s="984" t="s">
        <v>564</v>
      </c>
      <c r="B370" s="984" t="s">
        <v>568</v>
      </c>
      <c r="C370" s="986"/>
      <c r="D370" s="986"/>
      <c r="E370" s="987"/>
      <c r="F370" s="1001"/>
      <c r="G370" s="989">
        <f>G369*0.15</f>
        <v>466965</v>
      </c>
    </row>
    <row r="371" spans="1:17" x14ac:dyDescent="0.25">
      <c r="A371" s="984" t="s">
        <v>566</v>
      </c>
      <c r="B371" s="984" t="s">
        <v>569</v>
      </c>
      <c r="C371" s="986"/>
      <c r="D371" s="986"/>
      <c r="E371" s="987"/>
      <c r="F371" s="1001"/>
      <c r="G371" s="1002">
        <f>SUM(G369:G370)</f>
        <v>3580065</v>
      </c>
    </row>
    <row r="372" spans="1:17" x14ac:dyDescent="0.25">
      <c r="A372" s="996"/>
      <c r="B372" s="996"/>
      <c r="C372" s="1004"/>
      <c r="D372" s="1004"/>
      <c r="E372" s="1005"/>
      <c r="F372" s="1006"/>
      <c r="G372" s="1007"/>
    </row>
    <row r="373" spans="1:17" s="651" customFormat="1" x14ac:dyDescent="0.25">
      <c r="A373" s="963" t="s">
        <v>768</v>
      </c>
      <c r="B373" s="963" t="s">
        <v>1239</v>
      </c>
      <c r="C373" s="963"/>
      <c r="D373" s="965"/>
      <c r="E373" s="966"/>
      <c r="F373" s="967"/>
      <c r="G373" s="967"/>
      <c r="H373" s="650"/>
    </row>
    <row r="374" spans="1:17" s="651" customFormat="1" ht="18" customHeight="1" x14ac:dyDescent="0.25">
      <c r="A374" s="1034" t="s">
        <v>146</v>
      </c>
      <c r="B374" s="968" t="s">
        <v>550</v>
      </c>
      <c r="C374" s="969" t="s">
        <v>551</v>
      </c>
      <c r="D374" s="969" t="s">
        <v>552</v>
      </c>
      <c r="E374" s="970" t="s">
        <v>553</v>
      </c>
      <c r="F374" s="971" t="s">
        <v>554</v>
      </c>
      <c r="G374" s="971" t="s">
        <v>555</v>
      </c>
      <c r="H374" s="650"/>
      <c r="L374" s="651">
        <f>L378*L379</f>
        <v>6.4</v>
      </c>
    </row>
    <row r="375" spans="1:17" s="651" customFormat="1" x14ac:dyDescent="0.25">
      <c r="A375" s="1040" t="s">
        <v>556</v>
      </c>
      <c r="B375" s="1016" t="s">
        <v>15</v>
      </c>
      <c r="C375" s="992"/>
      <c r="D375" s="992"/>
      <c r="E375" s="993"/>
      <c r="F375" s="1017"/>
      <c r="G375" s="1017"/>
      <c r="H375" s="650"/>
    </row>
    <row r="376" spans="1:17" s="651" customFormat="1" x14ac:dyDescent="0.25">
      <c r="A376" s="972"/>
      <c r="B376" s="972" t="s">
        <v>17</v>
      </c>
      <c r="C376" s="973" t="s">
        <v>557</v>
      </c>
      <c r="D376" s="973" t="s">
        <v>242</v>
      </c>
      <c r="E376" s="1041">
        <v>1.05</v>
      </c>
      <c r="F376" s="975">
        <f>$F$340</f>
        <v>110000</v>
      </c>
      <c r="G376" s="975">
        <f>E376*F376</f>
        <v>115500</v>
      </c>
      <c r="H376" s="650"/>
    </row>
    <row r="377" spans="1:17" s="651" customFormat="1" x14ac:dyDescent="0.25">
      <c r="A377" s="976"/>
      <c r="B377" s="976" t="s">
        <v>887</v>
      </c>
      <c r="C377" s="977" t="s">
        <v>581</v>
      </c>
      <c r="D377" s="977" t="s">
        <v>242</v>
      </c>
      <c r="E377" s="1042">
        <v>1.05</v>
      </c>
      <c r="F377" s="979">
        <f>$F$341</f>
        <v>153000</v>
      </c>
      <c r="G377" s="979">
        <f>E377*F377</f>
        <v>160650</v>
      </c>
      <c r="H377" s="650"/>
    </row>
    <row r="378" spans="1:17" s="651" customFormat="1" x14ac:dyDescent="0.25">
      <c r="A378" s="976"/>
      <c r="B378" s="976" t="s">
        <v>18</v>
      </c>
      <c r="C378" s="977" t="s">
        <v>582</v>
      </c>
      <c r="D378" s="977" t="s">
        <v>242</v>
      </c>
      <c r="E378" s="1042">
        <v>0.105</v>
      </c>
      <c r="F378" s="979">
        <f>$F$342</f>
        <v>170000</v>
      </c>
      <c r="G378" s="979">
        <f>E378*F378</f>
        <v>17850</v>
      </c>
      <c r="H378" s="650"/>
      <c r="L378" s="651">
        <v>2.5</v>
      </c>
      <c r="M378" s="651">
        <v>4</v>
      </c>
      <c r="O378" s="651">
        <f>L378*M378</f>
        <v>10</v>
      </c>
    </row>
    <row r="379" spans="1:17" s="651" customFormat="1" x14ac:dyDescent="0.25">
      <c r="A379" s="1011"/>
      <c r="B379" s="1011" t="s">
        <v>19</v>
      </c>
      <c r="C379" s="1012" t="s">
        <v>558</v>
      </c>
      <c r="D379" s="1012" t="s">
        <v>242</v>
      </c>
      <c r="E379" s="1043">
        <v>5.1999999999999998E-2</v>
      </c>
      <c r="F379" s="1015">
        <f>$F$343</f>
        <v>150000</v>
      </c>
      <c r="G379" s="1015">
        <f>E379*F379</f>
        <v>7800</v>
      </c>
      <c r="H379" s="650"/>
      <c r="L379" s="651">
        <v>2.56</v>
      </c>
      <c r="M379" s="651">
        <v>2</v>
      </c>
      <c r="O379" s="651">
        <f>L379*M379</f>
        <v>5.12</v>
      </c>
    </row>
    <row r="380" spans="1:17" s="651" customFormat="1" x14ac:dyDescent="0.25">
      <c r="A380" s="990"/>
      <c r="B380" s="1030"/>
      <c r="C380" s="1031"/>
      <c r="D380" s="1031"/>
      <c r="E380" s="1032" t="s">
        <v>559</v>
      </c>
      <c r="F380" s="1036"/>
      <c r="G380" s="1037">
        <f>SUM(G376:G379)</f>
        <v>301800</v>
      </c>
      <c r="H380" s="650"/>
      <c r="L380" s="651">
        <v>1.4</v>
      </c>
      <c r="M380" s="651">
        <v>3</v>
      </c>
      <c r="O380" s="651">
        <f>L380*M380</f>
        <v>4.1999999999999993</v>
      </c>
    </row>
    <row r="381" spans="1:17" s="651" customFormat="1" x14ac:dyDescent="0.25">
      <c r="A381" s="1035" t="s">
        <v>1</v>
      </c>
      <c r="B381" s="1016" t="s">
        <v>5</v>
      </c>
      <c r="C381" s="992"/>
      <c r="D381" s="992"/>
      <c r="E381" s="993"/>
      <c r="F381" s="1017"/>
      <c r="G381" s="1017"/>
      <c r="H381" s="650"/>
      <c r="O381" s="651">
        <f>SUM(O378:O380)</f>
        <v>19.32</v>
      </c>
      <c r="Q381" s="651">
        <f>30/6</f>
        <v>5</v>
      </c>
    </row>
    <row r="382" spans="1:17" s="651" customFormat="1" x14ac:dyDescent="0.25">
      <c r="A382" s="972"/>
      <c r="B382" s="1044" t="s">
        <v>759</v>
      </c>
      <c r="C382" s="973"/>
      <c r="D382" s="1045" t="s">
        <v>755</v>
      </c>
      <c r="E382" s="1041">
        <v>30</v>
      </c>
      <c r="F382" s="975">
        <f>'UPah &amp; Bahan oke'!H74</f>
        <v>22000</v>
      </c>
      <c r="G382" s="975">
        <f>E382*F382</f>
        <v>660000</v>
      </c>
      <c r="H382" s="650"/>
      <c r="K382" s="651" t="s">
        <v>1144</v>
      </c>
      <c r="L382" s="651">
        <v>1.1000000000000001</v>
      </c>
      <c r="M382" s="651">
        <v>14</v>
      </c>
      <c r="Q382" s="651">
        <f>O381*Q381</f>
        <v>96.6</v>
      </c>
    </row>
    <row r="383" spans="1:17" s="651" customFormat="1" x14ac:dyDescent="0.25">
      <c r="A383" s="976"/>
      <c r="B383" s="1046" t="s">
        <v>1240</v>
      </c>
      <c r="C383" s="977"/>
      <c r="D383" s="1047" t="s">
        <v>755</v>
      </c>
      <c r="E383" s="1042">
        <v>15.625</v>
      </c>
      <c r="F383" s="979">
        <f>'UPah &amp; Bahan oke'!H75</f>
        <v>22000</v>
      </c>
      <c r="G383" s="979">
        <f>E383*F383</f>
        <v>343750</v>
      </c>
      <c r="H383" s="650"/>
    </row>
    <row r="384" spans="1:17" s="651" customFormat="1" x14ac:dyDescent="0.25">
      <c r="A384" s="980"/>
      <c r="B384" s="1464" t="s">
        <v>1272</v>
      </c>
      <c r="C384" s="981"/>
      <c r="D384" s="1047" t="s">
        <v>755</v>
      </c>
      <c r="E384" s="1465">
        <v>3.7666666666666666</v>
      </c>
      <c r="F384" s="983">
        <f>F383</f>
        <v>22000</v>
      </c>
      <c r="G384" s="979">
        <f>E384*F384</f>
        <v>82866.666666666672</v>
      </c>
      <c r="H384" s="650"/>
    </row>
    <row r="385" spans="1:19" s="651" customFormat="1" x14ac:dyDescent="0.25">
      <c r="A385" s="1011"/>
      <c r="B385" s="1048" t="s">
        <v>760</v>
      </c>
      <c r="C385" s="1012"/>
      <c r="D385" s="1049" t="s">
        <v>755</v>
      </c>
      <c r="E385" s="1050">
        <v>0.05</v>
      </c>
      <c r="F385" s="1015">
        <f>'UPah &amp; Bahan oke'!H36</f>
        <v>44000</v>
      </c>
      <c r="G385" s="1015">
        <f>E385*F385</f>
        <v>2200</v>
      </c>
      <c r="H385" s="650"/>
      <c r="M385" s="651">
        <f>1/0.2</f>
        <v>5</v>
      </c>
      <c r="N385" s="651">
        <f>4.52/6</f>
        <v>0.7533333333333333</v>
      </c>
    </row>
    <row r="386" spans="1:19" s="651" customFormat="1" x14ac:dyDescent="0.25">
      <c r="A386" s="984"/>
      <c r="B386" s="985"/>
      <c r="C386" s="986"/>
      <c r="D386" s="986"/>
      <c r="E386" s="987" t="s">
        <v>563</v>
      </c>
      <c r="F386" s="988"/>
      <c r="G386" s="989">
        <f>SUM(G382:G385)</f>
        <v>1088816.6666666667</v>
      </c>
      <c r="H386" s="650"/>
    </row>
    <row r="387" spans="1:19" s="651" customFormat="1" x14ac:dyDescent="0.25">
      <c r="A387" s="984"/>
      <c r="B387" s="990" t="s">
        <v>561</v>
      </c>
      <c r="C387" s="997"/>
      <c r="D387" s="997"/>
      <c r="E387" s="998"/>
      <c r="F387" s="995"/>
      <c r="G387" s="995"/>
      <c r="H387" s="650"/>
      <c r="M387" s="651">
        <v>1.4</v>
      </c>
      <c r="N387" s="651">
        <v>2.5</v>
      </c>
      <c r="O387" s="651">
        <f>M387*N387</f>
        <v>3.5</v>
      </c>
      <c r="Q387" s="651">
        <f>1.2*2.4</f>
        <v>2.88</v>
      </c>
      <c r="R387" s="651">
        <v>47</v>
      </c>
    </row>
    <row r="388" spans="1:19" s="651" customFormat="1" x14ac:dyDescent="0.25">
      <c r="A388" s="990" t="s">
        <v>560</v>
      </c>
      <c r="B388" s="985"/>
      <c r="C388" s="986"/>
      <c r="D388" s="986"/>
      <c r="E388" s="987" t="s">
        <v>562</v>
      </c>
      <c r="F388" s="988"/>
      <c r="G388" s="989"/>
      <c r="H388" s="650"/>
      <c r="O388" s="651">
        <f>O387*S390</f>
        <v>57.118055555555564</v>
      </c>
    </row>
    <row r="389" spans="1:19" s="651" customFormat="1" x14ac:dyDescent="0.25">
      <c r="A389" s="984"/>
      <c r="B389" s="984" t="s">
        <v>565</v>
      </c>
      <c r="C389" s="986"/>
      <c r="D389" s="986"/>
      <c r="E389" s="987"/>
      <c r="F389" s="1001"/>
      <c r="G389" s="989">
        <f>SUM(G380+G386)</f>
        <v>1390616.6666666667</v>
      </c>
      <c r="H389" s="650"/>
    </row>
    <row r="390" spans="1:19" s="651" customFormat="1" x14ac:dyDescent="0.25">
      <c r="A390" s="984" t="s">
        <v>564</v>
      </c>
      <c r="B390" s="984" t="s">
        <v>568</v>
      </c>
      <c r="C390" s="986"/>
      <c r="D390" s="986"/>
      <c r="E390" s="987"/>
      <c r="F390" s="1001"/>
      <c r="G390" s="989">
        <f>G389*0.15</f>
        <v>208592.5</v>
      </c>
      <c r="H390" s="650"/>
      <c r="S390" s="651">
        <f>R387/Q387</f>
        <v>16.319444444444446</v>
      </c>
    </row>
    <row r="391" spans="1:19" s="651" customFormat="1" x14ac:dyDescent="0.25">
      <c r="A391" s="984" t="s">
        <v>566</v>
      </c>
      <c r="B391" s="984" t="s">
        <v>569</v>
      </c>
      <c r="C391" s="986"/>
      <c r="D391" s="986"/>
      <c r="E391" s="987"/>
      <c r="F391" s="1001"/>
      <c r="G391" s="1002">
        <f>SUM(G389:G390)</f>
        <v>1599209.1666666667</v>
      </c>
      <c r="H391" s="650"/>
      <c r="S391" s="651">
        <f>Q387*S390</f>
        <v>47.000000000000007</v>
      </c>
    </row>
    <row r="392" spans="1:19" s="651" customFormat="1" x14ac:dyDescent="0.25">
      <c r="A392" s="996"/>
      <c r="B392" s="996"/>
      <c r="C392" s="1004"/>
      <c r="D392" s="1004"/>
      <c r="E392" s="1005"/>
      <c r="F392" s="1006"/>
      <c r="G392" s="1007"/>
      <c r="H392" s="650"/>
    </row>
    <row r="393" spans="1:19" s="651" customFormat="1" x14ac:dyDescent="0.25">
      <c r="A393" s="963" t="s">
        <v>648</v>
      </c>
      <c r="B393" s="964"/>
      <c r="C393" s="963" t="s">
        <v>645</v>
      </c>
      <c r="D393" s="965"/>
      <c r="E393" s="966"/>
      <c r="F393" s="967"/>
      <c r="G393" s="967"/>
      <c r="H393" s="650"/>
    </row>
    <row r="394" spans="1:19" s="651" customFormat="1" x14ac:dyDescent="0.25">
      <c r="A394" s="1034" t="s">
        <v>146</v>
      </c>
      <c r="B394" s="968" t="s">
        <v>550</v>
      </c>
      <c r="C394" s="969" t="s">
        <v>551</v>
      </c>
      <c r="D394" s="969" t="s">
        <v>552</v>
      </c>
      <c r="E394" s="970" t="s">
        <v>553</v>
      </c>
      <c r="F394" s="971" t="s">
        <v>554</v>
      </c>
      <c r="G394" s="971" t="s">
        <v>555</v>
      </c>
      <c r="H394" s="650"/>
    </row>
    <row r="395" spans="1:19" s="651" customFormat="1" x14ac:dyDescent="0.25">
      <c r="A395" s="968" t="s">
        <v>556</v>
      </c>
      <c r="B395" s="972" t="s">
        <v>15</v>
      </c>
      <c r="C395" s="973"/>
      <c r="D395" s="973"/>
      <c r="E395" s="974"/>
      <c r="F395" s="975"/>
      <c r="G395" s="975"/>
      <c r="H395" s="650"/>
    </row>
    <row r="396" spans="1:19" s="651" customFormat="1" x14ac:dyDescent="0.25">
      <c r="A396" s="972"/>
      <c r="B396" s="976" t="s">
        <v>17</v>
      </c>
      <c r="C396" s="977" t="s">
        <v>557</v>
      </c>
      <c r="D396" s="977" t="s">
        <v>242</v>
      </c>
      <c r="E396" s="978">
        <v>0.35</v>
      </c>
      <c r="F396" s="979">
        <f>F359</f>
        <v>110000</v>
      </c>
      <c r="G396" s="979">
        <f>E396*F396</f>
        <v>38500</v>
      </c>
      <c r="H396" s="650"/>
    </row>
    <row r="397" spans="1:19" s="651" customFormat="1" ht="27" customHeight="1" x14ac:dyDescent="0.25">
      <c r="A397" s="976"/>
      <c r="B397" s="980" t="s">
        <v>51</v>
      </c>
      <c r="C397" s="981" t="s">
        <v>581</v>
      </c>
      <c r="D397" s="981" t="s">
        <v>242</v>
      </c>
      <c r="E397" s="982">
        <v>1.05</v>
      </c>
      <c r="F397" s="979">
        <f>F360</f>
        <v>153000</v>
      </c>
      <c r="G397" s="979">
        <f>E397*F397</f>
        <v>160650</v>
      </c>
      <c r="H397" s="650"/>
    </row>
    <row r="398" spans="1:19" s="651" customFormat="1" x14ac:dyDescent="0.25">
      <c r="A398" s="980"/>
      <c r="B398" s="980" t="s">
        <v>18</v>
      </c>
      <c r="C398" s="981" t="s">
        <v>582</v>
      </c>
      <c r="D398" s="981" t="s">
        <v>242</v>
      </c>
      <c r="E398" s="982">
        <v>0.105</v>
      </c>
      <c r="F398" s="979">
        <f>F361</f>
        <v>170000</v>
      </c>
      <c r="G398" s="979">
        <f>E398*F398</f>
        <v>17850</v>
      </c>
      <c r="H398" s="650"/>
    </row>
    <row r="399" spans="1:19" s="651" customFormat="1" x14ac:dyDescent="0.25">
      <c r="A399" s="980"/>
      <c r="B399" s="980" t="s">
        <v>19</v>
      </c>
      <c r="C399" s="981" t="s">
        <v>558</v>
      </c>
      <c r="D399" s="981" t="s">
        <v>242</v>
      </c>
      <c r="E399" s="982">
        <v>1.7999999999999999E-2</v>
      </c>
      <c r="F399" s="979">
        <f>F362</f>
        <v>150000</v>
      </c>
      <c r="G399" s="979">
        <f>E399*F399</f>
        <v>2700</v>
      </c>
      <c r="H399" s="650"/>
    </row>
    <row r="400" spans="1:19" s="651" customFormat="1" x14ac:dyDescent="0.25">
      <c r="A400" s="980"/>
      <c r="B400" s="985"/>
      <c r="C400" s="986"/>
      <c r="D400" s="986"/>
      <c r="E400" s="987" t="s">
        <v>559</v>
      </c>
      <c r="F400" s="988"/>
      <c r="G400" s="989">
        <f>SUM(G396:G399)</f>
        <v>219700</v>
      </c>
      <c r="H400" s="650"/>
    </row>
    <row r="401" spans="1:8" s="651" customFormat="1" x14ac:dyDescent="0.25">
      <c r="A401" s="1035" t="s">
        <v>1</v>
      </c>
      <c r="B401" s="1016" t="s">
        <v>5</v>
      </c>
      <c r="C401" s="992"/>
      <c r="D401" s="992"/>
      <c r="E401" s="993"/>
      <c r="F401" s="1017"/>
      <c r="G401" s="1017"/>
      <c r="H401" s="650"/>
    </row>
    <row r="402" spans="1:8" s="651" customFormat="1" x14ac:dyDescent="0.25">
      <c r="A402" s="1016"/>
      <c r="B402" s="1038" t="s">
        <v>646</v>
      </c>
      <c r="C402" s="992"/>
      <c r="D402" s="992" t="s">
        <v>235</v>
      </c>
      <c r="E402" s="993">
        <v>0.04</v>
      </c>
      <c r="F402" s="1039">
        <f>'UPah &amp; Bahan oke'!H42</f>
        <v>5200000</v>
      </c>
      <c r="G402" s="1017">
        <f>E402*F402</f>
        <v>208000</v>
      </c>
      <c r="H402" s="650"/>
    </row>
    <row r="403" spans="1:8" s="651" customFormat="1" x14ac:dyDescent="0.25">
      <c r="A403" s="1035"/>
      <c r="B403" s="1051" t="s">
        <v>599</v>
      </c>
      <c r="C403" s="1052"/>
      <c r="D403" s="1052" t="s">
        <v>12</v>
      </c>
      <c r="E403" s="1053">
        <v>0.05</v>
      </c>
      <c r="F403" s="1039">
        <f>'UPah &amp; Bahan oke'!H37</f>
        <v>20000</v>
      </c>
      <c r="G403" s="1017">
        <f>E403*F403</f>
        <v>1000</v>
      </c>
      <c r="H403" s="650"/>
    </row>
    <row r="404" spans="1:8" s="651" customFormat="1" x14ac:dyDescent="0.25">
      <c r="A404" s="984"/>
      <c r="B404" s="985"/>
      <c r="C404" s="986"/>
      <c r="D404" s="986"/>
      <c r="E404" s="987" t="s">
        <v>563</v>
      </c>
      <c r="F404" s="988"/>
      <c r="G404" s="989">
        <f>SUM(G402:G403)</f>
        <v>209000</v>
      </c>
      <c r="H404" s="650"/>
    </row>
    <row r="405" spans="1:8" s="651" customFormat="1" x14ac:dyDescent="0.25">
      <c r="A405" s="984"/>
      <c r="B405" s="990" t="s">
        <v>561</v>
      </c>
      <c r="C405" s="997"/>
      <c r="D405" s="997"/>
      <c r="E405" s="998"/>
      <c r="F405" s="995"/>
      <c r="G405" s="995"/>
      <c r="H405" s="650"/>
    </row>
    <row r="406" spans="1:8" s="651" customFormat="1" x14ac:dyDescent="0.25">
      <c r="A406" s="990" t="s">
        <v>560</v>
      </c>
      <c r="B406" s="985"/>
      <c r="C406" s="986"/>
      <c r="D406" s="986"/>
      <c r="E406" s="987" t="s">
        <v>562</v>
      </c>
      <c r="F406" s="988"/>
      <c r="G406" s="989"/>
      <c r="H406" s="650"/>
    </row>
    <row r="407" spans="1:8" s="651" customFormat="1" x14ac:dyDescent="0.25">
      <c r="A407" s="984"/>
      <c r="B407" s="984" t="s">
        <v>565</v>
      </c>
      <c r="C407" s="986"/>
      <c r="D407" s="986"/>
      <c r="E407" s="987"/>
      <c r="F407" s="1001"/>
      <c r="G407" s="989">
        <f>SUM(G400+G404)</f>
        <v>428700</v>
      </c>
      <c r="H407" s="650"/>
    </row>
    <row r="408" spans="1:8" s="651" customFormat="1" x14ac:dyDescent="0.25">
      <c r="A408" s="984" t="s">
        <v>564</v>
      </c>
      <c r="B408" s="984" t="s">
        <v>568</v>
      </c>
      <c r="C408" s="986"/>
      <c r="D408" s="986"/>
      <c r="E408" s="987"/>
      <c r="F408" s="1001"/>
      <c r="G408" s="989">
        <f>G407*0.15</f>
        <v>64305</v>
      </c>
      <c r="H408" s="650"/>
    </row>
    <row r="409" spans="1:8" s="651" customFormat="1" x14ac:dyDescent="0.25">
      <c r="A409" s="984" t="s">
        <v>566</v>
      </c>
      <c r="B409" s="984" t="s">
        <v>569</v>
      </c>
      <c r="C409" s="986"/>
      <c r="D409" s="986"/>
      <c r="E409" s="987"/>
      <c r="F409" s="1001"/>
      <c r="G409" s="1002">
        <f>SUM(G407:G408)</f>
        <v>493005</v>
      </c>
      <c r="H409" s="650"/>
    </row>
    <row r="410" spans="1:8" s="651" customFormat="1" x14ac:dyDescent="0.25">
      <c r="A410" s="963" t="s">
        <v>649</v>
      </c>
      <c r="B410" s="964"/>
      <c r="C410" s="963" t="s">
        <v>647</v>
      </c>
      <c r="D410" s="965"/>
      <c r="E410" s="966"/>
      <c r="F410" s="967"/>
      <c r="G410" s="967"/>
      <c r="H410" s="650"/>
    </row>
    <row r="411" spans="1:8" s="651" customFormat="1" x14ac:dyDescent="0.25">
      <c r="A411" s="1034" t="s">
        <v>146</v>
      </c>
      <c r="B411" s="968" t="s">
        <v>550</v>
      </c>
      <c r="C411" s="969" t="s">
        <v>551</v>
      </c>
      <c r="D411" s="969" t="s">
        <v>552</v>
      </c>
      <c r="E411" s="970" t="s">
        <v>553</v>
      </c>
      <c r="F411" s="971" t="s">
        <v>554</v>
      </c>
      <c r="G411" s="971" t="s">
        <v>555</v>
      </c>
      <c r="H411" s="650"/>
    </row>
    <row r="412" spans="1:8" s="651" customFormat="1" x14ac:dyDescent="0.25">
      <c r="A412" s="968" t="s">
        <v>556</v>
      </c>
      <c r="B412" s="1034" t="s">
        <v>15</v>
      </c>
      <c r="C412" s="1052"/>
      <c r="D412" s="1052"/>
      <c r="E412" s="1053"/>
      <c r="F412" s="989"/>
      <c r="G412" s="989"/>
      <c r="H412" s="650"/>
    </row>
    <row r="413" spans="1:8" s="651" customFormat="1" ht="23.25" customHeight="1" x14ac:dyDescent="0.25">
      <c r="A413" s="972"/>
      <c r="B413" s="1054" t="s">
        <v>17</v>
      </c>
      <c r="C413" s="1055" t="s">
        <v>557</v>
      </c>
      <c r="D413" s="1055" t="s">
        <v>242</v>
      </c>
      <c r="E413" s="1056">
        <v>6</v>
      </c>
      <c r="F413" s="1057">
        <f>F396</f>
        <v>110000</v>
      </c>
      <c r="G413" s="1057">
        <f>E413*F413</f>
        <v>660000</v>
      </c>
      <c r="H413" s="650"/>
    </row>
    <row r="414" spans="1:8" s="651" customFormat="1" ht="27" customHeight="1" x14ac:dyDescent="0.25">
      <c r="A414" s="976"/>
      <c r="B414" s="980" t="s">
        <v>51</v>
      </c>
      <c r="C414" s="981" t="s">
        <v>581</v>
      </c>
      <c r="D414" s="981" t="s">
        <v>242</v>
      </c>
      <c r="E414" s="982">
        <v>18</v>
      </c>
      <c r="F414" s="1057">
        <f>F397</f>
        <v>153000</v>
      </c>
      <c r="G414" s="979">
        <f>E414*F414</f>
        <v>2754000</v>
      </c>
      <c r="H414" s="650"/>
    </row>
    <row r="415" spans="1:8" s="651" customFormat="1" x14ac:dyDescent="0.25">
      <c r="A415" s="980"/>
      <c r="B415" s="980" t="s">
        <v>18</v>
      </c>
      <c r="C415" s="981" t="s">
        <v>582</v>
      </c>
      <c r="D415" s="981" t="s">
        <v>242</v>
      </c>
      <c r="E415" s="982">
        <v>1.8</v>
      </c>
      <c r="F415" s="1057">
        <f>F398</f>
        <v>170000</v>
      </c>
      <c r="G415" s="979">
        <f>E415*F415</f>
        <v>306000</v>
      </c>
      <c r="H415" s="650"/>
    </row>
    <row r="416" spans="1:8" s="651" customFormat="1" x14ac:dyDescent="0.25">
      <c r="A416" s="980"/>
      <c r="B416" s="980" t="s">
        <v>19</v>
      </c>
      <c r="C416" s="981" t="s">
        <v>558</v>
      </c>
      <c r="D416" s="981" t="s">
        <v>242</v>
      </c>
      <c r="E416" s="982">
        <v>0.3</v>
      </c>
      <c r="F416" s="1057">
        <f>F399</f>
        <v>150000</v>
      </c>
      <c r="G416" s="979">
        <f>E416*F416</f>
        <v>45000</v>
      </c>
      <c r="H416" s="650"/>
    </row>
    <row r="417" spans="1:8" s="651" customFormat="1" x14ac:dyDescent="0.25">
      <c r="A417" s="980"/>
      <c r="B417" s="985"/>
      <c r="C417" s="986"/>
      <c r="D417" s="986"/>
      <c r="E417" s="987" t="s">
        <v>559</v>
      </c>
      <c r="F417" s="988"/>
      <c r="G417" s="989">
        <f>SUM(G413:G416)</f>
        <v>3765000</v>
      </c>
      <c r="H417" s="650"/>
    </row>
    <row r="418" spans="1:8" s="651" customFormat="1" x14ac:dyDescent="0.25">
      <c r="A418" s="1035" t="s">
        <v>1</v>
      </c>
      <c r="B418" s="1016" t="s">
        <v>5</v>
      </c>
      <c r="C418" s="992"/>
      <c r="D418" s="992"/>
      <c r="E418" s="993"/>
      <c r="F418" s="1017"/>
      <c r="G418" s="1017"/>
      <c r="H418" s="650"/>
    </row>
    <row r="419" spans="1:8" s="651" customFormat="1" x14ac:dyDescent="0.25">
      <c r="A419" s="1016"/>
      <c r="B419" s="1038" t="s">
        <v>646</v>
      </c>
      <c r="C419" s="992"/>
      <c r="D419" s="992" t="s">
        <v>235</v>
      </c>
      <c r="E419" s="993">
        <v>1.2</v>
      </c>
      <c r="F419" s="1039">
        <f>'UPah &amp; Bahan oke'!H42</f>
        <v>5200000</v>
      </c>
      <c r="G419" s="1017">
        <f>E419*F419</f>
        <v>6240000</v>
      </c>
      <c r="H419" s="650"/>
    </row>
    <row r="420" spans="1:8" s="651" customFormat="1" x14ac:dyDescent="0.25">
      <c r="A420" s="1035"/>
      <c r="B420" s="1051" t="s">
        <v>599</v>
      </c>
      <c r="C420" s="1052"/>
      <c r="D420" s="1052" t="s">
        <v>12</v>
      </c>
      <c r="E420" s="1053">
        <v>1.25</v>
      </c>
      <c r="F420" s="1039">
        <f>F403</f>
        <v>20000</v>
      </c>
      <c r="G420" s="1017">
        <f>E420*F420</f>
        <v>25000</v>
      </c>
      <c r="H420" s="650"/>
    </row>
    <row r="421" spans="1:8" s="651" customFormat="1" x14ac:dyDescent="0.25">
      <c r="A421" s="1035"/>
      <c r="B421" s="1051" t="s">
        <v>650</v>
      </c>
      <c r="C421" s="1052"/>
      <c r="D421" s="1052" t="s">
        <v>12</v>
      </c>
      <c r="E421" s="1053">
        <v>1</v>
      </c>
      <c r="F421" s="1039">
        <f>'UPah &amp; Bahan oke'!H47</f>
        <v>45000</v>
      </c>
      <c r="G421" s="1017">
        <f>E421*F421</f>
        <v>45000</v>
      </c>
      <c r="H421" s="650"/>
    </row>
    <row r="422" spans="1:8" s="651" customFormat="1" x14ac:dyDescent="0.25">
      <c r="A422" s="984"/>
      <c r="B422" s="985"/>
      <c r="C422" s="986"/>
      <c r="D422" s="986"/>
      <c r="E422" s="987" t="s">
        <v>563</v>
      </c>
      <c r="F422" s="988"/>
      <c r="G422" s="989">
        <f>SUM(G419:G421)</f>
        <v>6310000</v>
      </c>
      <c r="H422" s="650"/>
    </row>
    <row r="423" spans="1:8" s="651" customFormat="1" x14ac:dyDescent="0.25">
      <c r="A423" s="984"/>
      <c r="B423" s="990" t="s">
        <v>561</v>
      </c>
      <c r="C423" s="997"/>
      <c r="D423" s="997"/>
      <c r="E423" s="998"/>
      <c r="F423" s="995"/>
      <c r="G423" s="995"/>
      <c r="H423" s="650"/>
    </row>
    <row r="424" spans="1:8" s="651" customFormat="1" ht="15" customHeight="1" x14ac:dyDescent="0.25">
      <c r="A424" s="990" t="s">
        <v>560</v>
      </c>
      <c r="B424" s="985"/>
      <c r="C424" s="986"/>
      <c r="D424" s="986"/>
      <c r="E424" s="987" t="s">
        <v>562</v>
      </c>
      <c r="F424" s="988"/>
      <c r="G424" s="989"/>
      <c r="H424" s="650"/>
    </row>
    <row r="425" spans="1:8" s="651" customFormat="1" ht="15" customHeight="1" x14ac:dyDescent="0.25">
      <c r="A425" s="984"/>
      <c r="B425" s="984" t="s">
        <v>565</v>
      </c>
      <c r="C425" s="986"/>
      <c r="D425" s="986"/>
      <c r="E425" s="987"/>
      <c r="F425" s="1001"/>
      <c r="G425" s="989">
        <f>SUM(G417+G422)</f>
        <v>10075000</v>
      </c>
      <c r="H425" s="650"/>
    </row>
    <row r="426" spans="1:8" s="651" customFormat="1" ht="15" customHeight="1" x14ac:dyDescent="0.25">
      <c r="A426" s="984" t="s">
        <v>564</v>
      </c>
      <c r="B426" s="984" t="s">
        <v>568</v>
      </c>
      <c r="C426" s="986"/>
      <c r="D426" s="986"/>
      <c r="E426" s="987"/>
      <c r="F426" s="1001"/>
      <c r="G426" s="989">
        <f>G425*0.15</f>
        <v>1511250</v>
      </c>
      <c r="H426" s="650"/>
    </row>
    <row r="427" spans="1:8" s="651" customFormat="1" ht="27" customHeight="1" x14ac:dyDescent="0.25">
      <c r="A427" s="984" t="s">
        <v>566</v>
      </c>
      <c r="B427" s="984" t="s">
        <v>569</v>
      </c>
      <c r="C427" s="986"/>
      <c r="D427" s="986"/>
      <c r="E427" s="987"/>
      <c r="F427" s="1001"/>
      <c r="G427" s="1002">
        <f>SUM(G425:G426)</f>
        <v>11586250</v>
      </c>
      <c r="H427" s="650"/>
    </row>
    <row r="428" spans="1:8" s="3" customFormat="1" x14ac:dyDescent="0.25">
      <c r="A428" s="996"/>
      <c r="B428" s="996"/>
      <c r="C428" s="1004"/>
      <c r="D428" s="1004"/>
      <c r="E428" s="1005"/>
      <c r="F428" s="1006"/>
      <c r="G428" s="1007"/>
      <c r="H428" s="628"/>
    </row>
    <row r="429" spans="1:8" s="651" customFormat="1" x14ac:dyDescent="0.25">
      <c r="A429" s="963" t="s">
        <v>1241</v>
      </c>
      <c r="B429" s="964"/>
      <c r="C429" s="963"/>
      <c r="D429" s="965"/>
      <c r="E429" s="966"/>
      <c r="F429" s="967"/>
      <c r="G429" s="967"/>
      <c r="H429" s="650"/>
    </row>
    <row r="430" spans="1:8" s="651" customFormat="1" x14ac:dyDescent="0.25">
      <c r="A430" s="1034" t="s">
        <v>146</v>
      </c>
      <c r="B430" s="968" t="s">
        <v>550</v>
      </c>
      <c r="C430" s="969" t="s">
        <v>551</v>
      </c>
      <c r="D430" s="969" t="s">
        <v>552</v>
      </c>
      <c r="E430" s="970" t="s">
        <v>553</v>
      </c>
      <c r="F430" s="971" t="s">
        <v>554</v>
      </c>
      <c r="G430" s="971" t="s">
        <v>555</v>
      </c>
      <c r="H430" s="650"/>
    </row>
    <row r="431" spans="1:8" s="651" customFormat="1" x14ac:dyDescent="0.25">
      <c r="A431" s="968" t="s">
        <v>556</v>
      </c>
      <c r="B431" s="1034" t="s">
        <v>15</v>
      </c>
      <c r="C431" s="1052"/>
      <c r="D431" s="1052"/>
      <c r="E431" s="1053"/>
      <c r="F431" s="989"/>
      <c r="G431" s="989"/>
      <c r="H431" s="650"/>
    </row>
    <row r="432" spans="1:8" s="651" customFormat="1" ht="23.25" customHeight="1" x14ac:dyDescent="0.25">
      <c r="A432" s="972"/>
      <c r="B432" s="1054" t="s">
        <v>17</v>
      </c>
      <c r="C432" s="1055" t="s">
        <v>557</v>
      </c>
      <c r="D432" s="1055" t="s">
        <v>242</v>
      </c>
      <c r="E432" s="1381">
        <v>0.8</v>
      </c>
      <c r="F432" s="1057">
        <f>F413</f>
        <v>110000</v>
      </c>
      <c r="G432" s="1057">
        <f>E432*F432</f>
        <v>88000</v>
      </c>
      <c r="H432" s="650"/>
    </row>
    <row r="433" spans="1:8" s="651" customFormat="1" x14ac:dyDescent="0.25">
      <c r="A433" s="976"/>
      <c r="B433" s="980" t="s">
        <v>51</v>
      </c>
      <c r="C433" s="981" t="s">
        <v>581</v>
      </c>
      <c r="D433" s="981" t="s">
        <v>242</v>
      </c>
      <c r="E433" s="1382">
        <v>2.4</v>
      </c>
      <c r="F433" s="1057">
        <f>F414</f>
        <v>153000</v>
      </c>
      <c r="G433" s="979">
        <f>E433*F433</f>
        <v>367200</v>
      </c>
      <c r="H433" s="650"/>
    </row>
    <row r="434" spans="1:8" s="651" customFormat="1" x14ac:dyDescent="0.25">
      <c r="A434" s="980"/>
      <c r="B434" s="980" t="s">
        <v>18</v>
      </c>
      <c r="C434" s="981" t="s">
        <v>582</v>
      </c>
      <c r="D434" s="981" t="s">
        <v>242</v>
      </c>
      <c r="E434" s="1383">
        <v>0.24</v>
      </c>
      <c r="F434" s="1057">
        <f>F415</f>
        <v>170000</v>
      </c>
      <c r="G434" s="979">
        <f>E434*F434</f>
        <v>40800</v>
      </c>
      <c r="H434" s="650"/>
    </row>
    <row r="435" spans="1:8" s="651" customFormat="1" x14ac:dyDescent="0.25">
      <c r="A435" s="980"/>
      <c r="B435" s="980" t="s">
        <v>19</v>
      </c>
      <c r="C435" s="981" t="s">
        <v>558</v>
      </c>
      <c r="D435" s="981" t="s">
        <v>242</v>
      </c>
      <c r="E435" s="1383">
        <v>0.04</v>
      </c>
      <c r="F435" s="1057">
        <f>F416</f>
        <v>150000</v>
      </c>
      <c r="G435" s="979">
        <f>E435*F435</f>
        <v>6000</v>
      </c>
      <c r="H435" s="650"/>
    </row>
    <row r="436" spans="1:8" s="651" customFormat="1" x14ac:dyDescent="0.25">
      <c r="A436" s="980"/>
      <c r="B436" s="985"/>
      <c r="C436" s="986"/>
      <c r="D436" s="986"/>
      <c r="E436" s="987" t="s">
        <v>559</v>
      </c>
      <c r="F436" s="988"/>
      <c r="G436" s="989">
        <f>SUM(G432:G435)</f>
        <v>502000</v>
      </c>
      <c r="H436" s="650"/>
    </row>
    <row r="437" spans="1:8" s="651" customFormat="1" x14ac:dyDescent="0.25">
      <c r="A437" s="1035" t="s">
        <v>1</v>
      </c>
      <c r="B437" s="1016" t="s">
        <v>5</v>
      </c>
      <c r="C437" s="992"/>
      <c r="D437" s="992"/>
      <c r="E437" s="993"/>
      <c r="F437" s="1017"/>
      <c r="G437" s="1017"/>
      <c r="H437" s="650"/>
    </row>
    <row r="438" spans="1:8" s="651" customFormat="1" x14ac:dyDescent="0.25">
      <c r="A438" s="1016"/>
      <c r="B438" s="1379" t="s">
        <v>646</v>
      </c>
      <c r="C438" s="992"/>
      <c r="D438" s="992" t="s">
        <v>235</v>
      </c>
      <c r="E438" s="993">
        <v>2.4E-2</v>
      </c>
      <c r="F438" s="1039">
        <f>F419</f>
        <v>5200000</v>
      </c>
      <c r="G438" s="1017">
        <f>E438*F438</f>
        <v>124800</v>
      </c>
      <c r="H438" s="650"/>
    </row>
    <row r="439" spans="1:8" s="651" customFormat="1" x14ac:dyDescent="0.25">
      <c r="A439" s="1035"/>
      <c r="B439" s="1380" t="s">
        <v>650</v>
      </c>
      <c r="C439" s="1052"/>
      <c r="D439" s="1052" t="s">
        <v>12</v>
      </c>
      <c r="E439" s="1053">
        <v>0.3</v>
      </c>
      <c r="F439" s="1039">
        <f>F421</f>
        <v>45000</v>
      </c>
      <c r="G439" s="1017">
        <f>E439*F439</f>
        <v>13500</v>
      </c>
      <c r="H439" s="650"/>
    </row>
    <row r="440" spans="1:8" s="651" customFormat="1" x14ac:dyDescent="0.25">
      <c r="A440" s="1035"/>
      <c r="B440" s="1051" t="s">
        <v>1161</v>
      </c>
      <c r="C440" s="1052"/>
      <c r="D440" s="1052" t="s">
        <v>435</v>
      </c>
      <c r="E440" s="1053">
        <v>1</v>
      </c>
      <c r="F440" s="1039">
        <v>165000</v>
      </c>
      <c r="G440" s="1017">
        <f>E440*F440</f>
        <v>165000</v>
      </c>
      <c r="H440" s="650"/>
    </row>
    <row r="441" spans="1:8" s="651" customFormat="1" x14ac:dyDescent="0.25">
      <c r="A441" s="984"/>
      <c r="B441" s="985"/>
      <c r="C441" s="986"/>
      <c r="D441" s="986"/>
      <c r="E441" s="987" t="s">
        <v>563</v>
      </c>
      <c r="F441" s="988"/>
      <c r="G441" s="989">
        <f>SUM(G438:G440)</f>
        <v>303300</v>
      </c>
      <c r="H441" s="650"/>
    </row>
    <row r="442" spans="1:8" s="651" customFormat="1" x14ac:dyDescent="0.25">
      <c r="A442" s="984"/>
      <c r="B442" s="990" t="s">
        <v>561</v>
      </c>
      <c r="C442" s="997"/>
      <c r="D442" s="997"/>
      <c r="E442" s="998"/>
      <c r="F442" s="995"/>
      <c r="G442" s="995"/>
      <c r="H442" s="650"/>
    </row>
    <row r="443" spans="1:8" s="651" customFormat="1" ht="15" customHeight="1" x14ac:dyDescent="0.25">
      <c r="A443" s="990" t="s">
        <v>560</v>
      </c>
      <c r="B443" s="985"/>
      <c r="C443" s="986"/>
      <c r="D443" s="986"/>
      <c r="E443" s="987" t="s">
        <v>562</v>
      </c>
      <c r="F443" s="988"/>
      <c r="G443" s="989"/>
      <c r="H443" s="650"/>
    </row>
    <row r="444" spans="1:8" s="651" customFormat="1" ht="15" customHeight="1" x14ac:dyDescent="0.25">
      <c r="A444" s="984"/>
      <c r="B444" s="984" t="s">
        <v>565</v>
      </c>
      <c r="C444" s="986"/>
      <c r="D444" s="986"/>
      <c r="E444" s="987"/>
      <c r="F444" s="1001"/>
      <c r="G444" s="989">
        <f>SUM(G436+G441)</f>
        <v>805300</v>
      </c>
      <c r="H444" s="650"/>
    </row>
    <row r="445" spans="1:8" s="651" customFormat="1" ht="15" customHeight="1" x14ac:dyDescent="0.25">
      <c r="A445" s="984" t="s">
        <v>564</v>
      </c>
      <c r="B445" s="984" t="s">
        <v>568</v>
      </c>
      <c r="C445" s="986"/>
      <c r="D445" s="986"/>
      <c r="E445" s="987"/>
      <c r="F445" s="1001"/>
      <c r="G445" s="989">
        <f>G444*0.15</f>
        <v>120795</v>
      </c>
      <c r="H445" s="650"/>
    </row>
    <row r="446" spans="1:8" s="651" customFormat="1" ht="27" customHeight="1" x14ac:dyDescent="0.25">
      <c r="A446" s="984" t="s">
        <v>566</v>
      </c>
      <c r="B446" s="984" t="s">
        <v>569</v>
      </c>
      <c r="C446" s="986"/>
      <c r="D446" s="986"/>
      <c r="E446" s="987"/>
      <c r="F446" s="1001"/>
      <c r="G446" s="1002">
        <f>SUM(G444:G445)</f>
        <v>926095</v>
      </c>
      <c r="H446" s="650"/>
    </row>
    <row r="447" spans="1:8" s="3" customFormat="1" x14ac:dyDescent="0.25">
      <c r="A447" s="996"/>
      <c r="B447" s="996"/>
      <c r="C447" s="1004"/>
      <c r="D447" s="1004"/>
      <c r="E447" s="1005"/>
      <c r="F447" s="1006"/>
      <c r="G447" s="1007"/>
      <c r="H447" s="628"/>
    </row>
    <row r="448" spans="1:8" s="651" customFormat="1" x14ac:dyDescent="0.25">
      <c r="A448" s="1469" t="s">
        <v>1163</v>
      </c>
      <c r="B448" s="964"/>
      <c r="C448" s="963"/>
      <c r="D448" s="965"/>
      <c r="E448" s="966"/>
      <c r="F448" s="967"/>
      <c r="G448" s="967"/>
      <c r="H448" s="650"/>
    </row>
    <row r="449" spans="1:8" s="651" customFormat="1" x14ac:dyDescent="0.25">
      <c r="A449" s="1034" t="s">
        <v>146</v>
      </c>
      <c r="B449" s="968" t="s">
        <v>550</v>
      </c>
      <c r="C449" s="969" t="s">
        <v>551</v>
      </c>
      <c r="D449" s="969" t="s">
        <v>552</v>
      </c>
      <c r="E449" s="970" t="s">
        <v>553</v>
      </c>
      <c r="F449" s="971" t="s">
        <v>554</v>
      </c>
      <c r="G449" s="971" t="s">
        <v>555</v>
      </c>
      <c r="H449" s="650"/>
    </row>
    <row r="450" spans="1:8" s="651" customFormat="1" x14ac:dyDescent="0.25">
      <c r="A450" s="968" t="s">
        <v>556</v>
      </c>
      <c r="B450" s="1034" t="s">
        <v>15</v>
      </c>
      <c r="C450" s="1052"/>
      <c r="D450" s="1052"/>
      <c r="E450" s="1053"/>
      <c r="F450" s="989"/>
      <c r="G450" s="989"/>
      <c r="H450" s="650"/>
    </row>
    <row r="451" spans="1:8" s="651" customFormat="1" x14ac:dyDescent="0.25">
      <c r="A451" s="972"/>
      <c r="B451" s="1054" t="s">
        <v>17</v>
      </c>
      <c r="C451" s="1055" t="s">
        <v>557</v>
      </c>
      <c r="D451" s="1055" t="s">
        <v>242</v>
      </c>
      <c r="E451" s="1381">
        <v>0.01</v>
      </c>
      <c r="F451" s="1057">
        <f>F432</f>
        <v>110000</v>
      </c>
      <c r="G451" s="1057">
        <f>E451*F451</f>
        <v>1100</v>
      </c>
      <c r="H451" s="650"/>
    </row>
    <row r="452" spans="1:8" s="651" customFormat="1" x14ac:dyDescent="0.25">
      <c r="A452" s="976"/>
      <c r="B452" s="980" t="s">
        <v>51</v>
      </c>
      <c r="C452" s="981" t="s">
        <v>581</v>
      </c>
      <c r="D452" s="981" t="s">
        <v>242</v>
      </c>
      <c r="E452" s="1382">
        <v>0.5</v>
      </c>
      <c r="F452" s="1057">
        <f>F433</f>
        <v>153000</v>
      </c>
      <c r="G452" s="979">
        <f>E452*F452</f>
        <v>76500</v>
      </c>
      <c r="H452" s="650"/>
    </row>
    <row r="453" spans="1:8" s="651" customFormat="1" x14ac:dyDescent="0.25">
      <c r="A453" s="980"/>
      <c r="B453" s="980" t="s">
        <v>18</v>
      </c>
      <c r="C453" s="981" t="s">
        <v>582</v>
      </c>
      <c r="D453" s="981" t="s">
        <v>242</v>
      </c>
      <c r="E453" s="1383">
        <v>0.05</v>
      </c>
      <c r="F453" s="1057">
        <f>F434</f>
        <v>170000</v>
      </c>
      <c r="G453" s="979">
        <f>E453*F453</f>
        <v>8500</v>
      </c>
      <c r="H453" s="650"/>
    </row>
    <row r="454" spans="1:8" s="651" customFormat="1" x14ac:dyDescent="0.25">
      <c r="A454" s="980"/>
      <c r="B454" s="980" t="s">
        <v>19</v>
      </c>
      <c r="C454" s="981" t="s">
        <v>558</v>
      </c>
      <c r="D454" s="981" t="s">
        <v>242</v>
      </c>
      <c r="E454" s="1383">
        <v>5.0000000000000001E-3</v>
      </c>
      <c r="F454" s="1057">
        <f>F435</f>
        <v>150000</v>
      </c>
      <c r="G454" s="979">
        <f>E454*F454</f>
        <v>750</v>
      </c>
      <c r="H454" s="650"/>
    </row>
    <row r="455" spans="1:8" s="651" customFormat="1" x14ac:dyDescent="0.25">
      <c r="A455" s="980"/>
      <c r="B455" s="985"/>
      <c r="C455" s="986"/>
      <c r="D455" s="986"/>
      <c r="E455" s="987" t="s">
        <v>559</v>
      </c>
      <c r="F455" s="988"/>
      <c r="G455" s="989">
        <f>SUM(G451:G454)</f>
        <v>86850</v>
      </c>
      <c r="H455" s="650"/>
    </row>
    <row r="456" spans="1:8" s="651" customFormat="1" x14ac:dyDescent="0.25">
      <c r="A456" s="1035" t="s">
        <v>1</v>
      </c>
      <c r="B456" s="1016" t="s">
        <v>5</v>
      </c>
      <c r="C456" s="992"/>
      <c r="D456" s="992"/>
      <c r="E456" s="993"/>
      <c r="F456" s="1017"/>
      <c r="G456" s="1017"/>
      <c r="H456" s="650"/>
    </row>
    <row r="457" spans="1:8" s="651" customFormat="1" x14ac:dyDescent="0.25">
      <c r="A457" s="1016"/>
      <c r="B457" s="1379" t="s">
        <v>110</v>
      </c>
      <c r="C457" s="992"/>
      <c r="D457" s="992" t="s">
        <v>235</v>
      </c>
      <c r="E457" s="993">
        <v>1</v>
      </c>
      <c r="F457" s="1039">
        <v>145000</v>
      </c>
      <c r="G457" s="1017">
        <f>E457*F457</f>
        <v>145000</v>
      </c>
      <c r="H457" s="650"/>
    </row>
    <row r="458" spans="1:8" s="651" customFormat="1" x14ac:dyDescent="0.25">
      <c r="A458" s="1035"/>
      <c r="B458" s="1380"/>
      <c r="C458" s="1052"/>
      <c r="D458" s="1052"/>
      <c r="E458" s="1053"/>
      <c r="F458" s="1039"/>
      <c r="G458" s="1017"/>
      <c r="H458" s="650"/>
    </row>
    <row r="459" spans="1:8" s="651" customFormat="1" x14ac:dyDescent="0.25">
      <c r="A459" s="984"/>
      <c r="B459" s="985"/>
      <c r="C459" s="986"/>
      <c r="D459" s="986"/>
      <c r="E459" s="987" t="s">
        <v>563</v>
      </c>
      <c r="F459" s="988"/>
      <c r="G459" s="989">
        <f>SUM(G457:G458)</f>
        <v>145000</v>
      </c>
      <c r="H459" s="650"/>
    </row>
    <row r="460" spans="1:8" s="651" customFormat="1" x14ac:dyDescent="0.25">
      <c r="A460" s="984"/>
      <c r="B460" s="990" t="s">
        <v>561</v>
      </c>
      <c r="C460" s="997"/>
      <c r="D460" s="997"/>
      <c r="E460" s="998"/>
      <c r="F460" s="995"/>
      <c r="G460" s="995"/>
      <c r="H460" s="650"/>
    </row>
    <row r="461" spans="1:8" s="651" customFormat="1" ht="15" customHeight="1" x14ac:dyDescent="0.25">
      <c r="A461" s="990" t="s">
        <v>560</v>
      </c>
      <c r="B461" s="985"/>
      <c r="C461" s="986"/>
      <c r="D461" s="986"/>
      <c r="E461" s="987" t="s">
        <v>562</v>
      </c>
      <c r="F461" s="988"/>
      <c r="G461" s="989"/>
      <c r="H461" s="650"/>
    </row>
    <row r="462" spans="1:8" s="651" customFormat="1" ht="15" customHeight="1" x14ac:dyDescent="0.25">
      <c r="A462" s="984"/>
      <c r="B462" s="984" t="s">
        <v>565</v>
      </c>
      <c r="C462" s="986"/>
      <c r="D462" s="986"/>
      <c r="E462" s="987"/>
      <c r="F462" s="1001"/>
      <c r="G462" s="989">
        <f>SUM(G455+G459)</f>
        <v>231850</v>
      </c>
      <c r="H462" s="650"/>
    </row>
    <row r="463" spans="1:8" s="651" customFormat="1" ht="15" customHeight="1" x14ac:dyDescent="0.25">
      <c r="A463" s="984" t="s">
        <v>564</v>
      </c>
      <c r="B463" s="984" t="s">
        <v>568</v>
      </c>
      <c r="C463" s="986"/>
      <c r="D463" s="986"/>
      <c r="E463" s="987"/>
      <c r="F463" s="1001"/>
      <c r="G463" s="989">
        <f>G462*0.15</f>
        <v>34777.5</v>
      </c>
      <c r="H463" s="650"/>
    </row>
    <row r="464" spans="1:8" s="651" customFormat="1" x14ac:dyDescent="0.25">
      <c r="A464" s="984" t="s">
        <v>566</v>
      </c>
      <c r="B464" s="984" t="s">
        <v>569</v>
      </c>
      <c r="C464" s="986"/>
      <c r="D464" s="986"/>
      <c r="E464" s="987"/>
      <c r="F464" s="1001"/>
      <c r="G464" s="1002">
        <f>SUM(G462:G463)</f>
        <v>266627.5</v>
      </c>
      <c r="H464" s="650"/>
    </row>
    <row r="465" spans="1:8" s="651" customFormat="1" x14ac:dyDescent="0.25">
      <c r="A465" s="996"/>
      <c r="B465" s="996"/>
      <c r="C465" s="1004"/>
      <c r="D465" s="1004"/>
      <c r="E465" s="1005"/>
      <c r="F465" s="1006"/>
      <c r="G465" s="1007"/>
      <c r="H465" s="650"/>
    </row>
    <row r="466" spans="1:8" s="651" customFormat="1" x14ac:dyDescent="0.25">
      <c r="A466" s="1469" t="s">
        <v>1165</v>
      </c>
      <c r="B466" s="964"/>
      <c r="C466" s="963"/>
      <c r="D466" s="965"/>
      <c r="E466" s="966"/>
      <c r="F466" s="967"/>
      <c r="G466" s="967"/>
      <c r="H466" s="650"/>
    </row>
    <row r="467" spans="1:8" s="651" customFormat="1" x14ac:dyDescent="0.25">
      <c r="A467" s="1034" t="s">
        <v>146</v>
      </c>
      <c r="B467" s="968" t="s">
        <v>550</v>
      </c>
      <c r="C467" s="969" t="s">
        <v>551</v>
      </c>
      <c r="D467" s="969" t="s">
        <v>552</v>
      </c>
      <c r="E467" s="970" t="s">
        <v>553</v>
      </c>
      <c r="F467" s="971" t="s">
        <v>554</v>
      </c>
      <c r="G467" s="971" t="s">
        <v>555</v>
      </c>
      <c r="H467" s="650"/>
    </row>
    <row r="468" spans="1:8" s="651" customFormat="1" x14ac:dyDescent="0.25">
      <c r="A468" s="968" t="s">
        <v>556</v>
      </c>
      <c r="B468" s="1034" t="s">
        <v>15</v>
      </c>
      <c r="C468" s="1052"/>
      <c r="D468" s="1052"/>
      <c r="E468" s="1053"/>
      <c r="F468" s="989"/>
      <c r="G468" s="989"/>
      <c r="H468" s="650"/>
    </row>
    <row r="469" spans="1:8" s="651" customFormat="1" x14ac:dyDescent="0.25">
      <c r="A469" s="972"/>
      <c r="B469" s="1054" t="s">
        <v>17</v>
      </c>
      <c r="C469" s="1055" t="s">
        <v>557</v>
      </c>
      <c r="D469" s="1055" t="s">
        <v>242</v>
      </c>
      <c r="E469" s="1381">
        <v>1.4999999999999999E-2</v>
      </c>
      <c r="F469" s="1057">
        <f>F451</f>
        <v>110000</v>
      </c>
      <c r="G469" s="1057">
        <f>E469*F469</f>
        <v>1650</v>
      </c>
      <c r="H469" s="650"/>
    </row>
    <row r="470" spans="1:8" s="651" customFormat="1" x14ac:dyDescent="0.25">
      <c r="A470" s="976"/>
      <c r="B470" s="980" t="s">
        <v>51</v>
      </c>
      <c r="C470" s="981" t="s">
        <v>581</v>
      </c>
      <c r="D470" s="981" t="s">
        <v>242</v>
      </c>
      <c r="E470" s="1382">
        <v>0.15</v>
      </c>
      <c r="F470" s="1057">
        <f>F452</f>
        <v>153000</v>
      </c>
      <c r="G470" s="979">
        <f>E470*F470</f>
        <v>22950</v>
      </c>
      <c r="H470" s="650"/>
    </row>
    <row r="471" spans="1:8" s="651" customFormat="1" x14ac:dyDescent="0.25">
      <c r="A471" s="980"/>
      <c r="B471" s="980" t="s">
        <v>18</v>
      </c>
      <c r="C471" s="981" t="s">
        <v>582</v>
      </c>
      <c r="D471" s="981" t="s">
        <v>242</v>
      </c>
      <c r="E471" s="1383">
        <v>1.4999999999999999E-2</v>
      </c>
      <c r="F471" s="1057">
        <f>F453</f>
        <v>170000</v>
      </c>
      <c r="G471" s="979">
        <f>E471*F471</f>
        <v>2550</v>
      </c>
      <c r="H471" s="650"/>
    </row>
    <row r="472" spans="1:8" s="651" customFormat="1" x14ac:dyDescent="0.25">
      <c r="A472" s="980"/>
      <c r="B472" s="980" t="s">
        <v>19</v>
      </c>
      <c r="C472" s="981" t="s">
        <v>558</v>
      </c>
      <c r="D472" s="981" t="s">
        <v>242</v>
      </c>
      <c r="E472" s="1383">
        <v>8.0000000000000004E-4</v>
      </c>
      <c r="F472" s="1057">
        <f>F454</f>
        <v>150000</v>
      </c>
      <c r="G472" s="979">
        <f>E472*F472</f>
        <v>120</v>
      </c>
      <c r="H472" s="650"/>
    </row>
    <row r="473" spans="1:8" s="651" customFormat="1" x14ac:dyDescent="0.25">
      <c r="A473" s="980"/>
      <c r="B473" s="985"/>
      <c r="C473" s="986"/>
      <c r="D473" s="986"/>
      <c r="E473" s="987" t="s">
        <v>559</v>
      </c>
      <c r="F473" s="988"/>
      <c r="G473" s="989">
        <f>SUM(G469:G472)</f>
        <v>27270</v>
      </c>
      <c r="H473" s="650"/>
    </row>
    <row r="474" spans="1:8" s="651" customFormat="1" x14ac:dyDescent="0.25">
      <c r="A474" s="1035" t="s">
        <v>1</v>
      </c>
      <c r="B474" s="1016" t="s">
        <v>5</v>
      </c>
      <c r="C474" s="992"/>
      <c r="D474" s="992"/>
      <c r="E474" s="993"/>
      <c r="F474" s="1017"/>
      <c r="G474" s="1017"/>
      <c r="H474" s="650"/>
    </row>
    <row r="475" spans="1:8" s="651" customFormat="1" x14ac:dyDescent="0.25">
      <c r="A475" s="1016"/>
      <c r="B475" s="1379" t="s">
        <v>186</v>
      </c>
      <c r="C475" s="992"/>
      <c r="D475" s="992" t="s">
        <v>308</v>
      </c>
      <c r="E475" s="993">
        <v>1</v>
      </c>
      <c r="F475" s="1039">
        <v>45000</v>
      </c>
      <c r="G475" s="1017">
        <f>E475*F475</f>
        <v>45000</v>
      </c>
      <c r="H475" s="650"/>
    </row>
    <row r="476" spans="1:8" s="651" customFormat="1" x14ac:dyDescent="0.25">
      <c r="A476" s="1035"/>
      <c r="B476" s="1380"/>
      <c r="C476" s="1052"/>
      <c r="D476" s="1052"/>
      <c r="E476" s="1053"/>
      <c r="F476" s="1039"/>
      <c r="G476" s="1017"/>
      <c r="H476" s="650"/>
    </row>
    <row r="477" spans="1:8" s="651" customFormat="1" x14ac:dyDescent="0.25">
      <c r="A477" s="984"/>
      <c r="B477" s="985"/>
      <c r="C477" s="986"/>
      <c r="D477" s="986"/>
      <c r="E477" s="987" t="s">
        <v>563</v>
      </c>
      <c r="F477" s="988"/>
      <c r="G477" s="989">
        <f>SUM(G475:G476)</f>
        <v>45000</v>
      </c>
      <c r="H477" s="650"/>
    </row>
    <row r="478" spans="1:8" s="651" customFormat="1" x14ac:dyDescent="0.25">
      <c r="A478" s="984"/>
      <c r="B478" s="990" t="s">
        <v>561</v>
      </c>
      <c r="C478" s="997"/>
      <c r="D478" s="997"/>
      <c r="E478" s="998"/>
      <c r="F478" s="995"/>
      <c r="G478" s="995"/>
      <c r="H478" s="650"/>
    </row>
    <row r="479" spans="1:8" s="651" customFormat="1" ht="15" customHeight="1" x14ac:dyDescent="0.25">
      <c r="A479" s="990" t="s">
        <v>560</v>
      </c>
      <c r="B479" s="985"/>
      <c r="C479" s="986"/>
      <c r="D479" s="986"/>
      <c r="E479" s="987" t="s">
        <v>562</v>
      </c>
      <c r="F479" s="988"/>
      <c r="G479" s="989"/>
      <c r="H479" s="650"/>
    </row>
    <row r="480" spans="1:8" s="651" customFormat="1" ht="15" customHeight="1" x14ac:dyDescent="0.25">
      <c r="A480" s="984"/>
      <c r="B480" s="984" t="s">
        <v>565</v>
      </c>
      <c r="C480" s="986"/>
      <c r="D480" s="986"/>
      <c r="E480" s="987"/>
      <c r="F480" s="1001"/>
      <c r="G480" s="989">
        <f>SUM(G473+G477)</f>
        <v>72270</v>
      </c>
      <c r="H480" s="650"/>
    </row>
    <row r="481" spans="1:8" s="651" customFormat="1" ht="15" customHeight="1" x14ac:dyDescent="0.25">
      <c r="A481" s="984" t="s">
        <v>564</v>
      </c>
      <c r="B481" s="984" t="s">
        <v>568</v>
      </c>
      <c r="C481" s="986"/>
      <c r="D481" s="986"/>
      <c r="E481" s="987"/>
      <c r="F481" s="1001"/>
      <c r="G481" s="989">
        <f>G480*0.15</f>
        <v>10840.5</v>
      </c>
      <c r="H481" s="650"/>
    </row>
    <row r="482" spans="1:8" s="651" customFormat="1" x14ac:dyDescent="0.25">
      <c r="A482" s="984" t="s">
        <v>566</v>
      </c>
      <c r="B482" s="984" t="s">
        <v>569</v>
      </c>
      <c r="C482" s="986"/>
      <c r="D482" s="986"/>
      <c r="E482" s="987"/>
      <c r="F482" s="1001"/>
      <c r="G482" s="1002">
        <f>SUM(G480:G481)</f>
        <v>83110.5</v>
      </c>
      <c r="H482" s="650"/>
    </row>
    <row r="483" spans="1:8" s="3" customFormat="1" x14ac:dyDescent="0.25">
      <c r="A483" s="996"/>
      <c r="B483" s="996"/>
      <c r="C483" s="1004"/>
      <c r="D483" s="1004"/>
      <c r="E483" s="1005"/>
      <c r="F483" s="1006"/>
      <c r="G483" s="1007"/>
      <c r="H483" s="628"/>
    </row>
    <row r="484" spans="1:8" s="651" customFormat="1" x14ac:dyDescent="0.25">
      <c r="A484" s="3" t="s">
        <v>1168</v>
      </c>
      <c r="B484" s="964"/>
      <c r="C484" s="963"/>
      <c r="D484" s="965"/>
      <c r="E484" s="966"/>
      <c r="F484" s="967"/>
      <c r="G484" s="967"/>
      <c r="H484" s="650"/>
    </row>
    <row r="485" spans="1:8" s="651" customFormat="1" x14ac:dyDescent="0.25">
      <c r="A485" s="1034" t="s">
        <v>146</v>
      </c>
      <c r="B485" s="968" t="s">
        <v>550</v>
      </c>
      <c r="C485" s="969" t="s">
        <v>551</v>
      </c>
      <c r="D485" s="969" t="s">
        <v>552</v>
      </c>
      <c r="E485" s="970" t="s">
        <v>553</v>
      </c>
      <c r="F485" s="971" t="s">
        <v>554</v>
      </c>
      <c r="G485" s="971" t="s">
        <v>555</v>
      </c>
      <c r="H485" s="650"/>
    </row>
    <row r="486" spans="1:8" s="651" customFormat="1" x14ac:dyDescent="0.25">
      <c r="A486" s="968" t="s">
        <v>556</v>
      </c>
      <c r="B486" s="1034" t="s">
        <v>15</v>
      </c>
      <c r="C486" s="1052"/>
      <c r="D486" s="1052"/>
      <c r="E486" s="1053"/>
      <c r="F486" s="989"/>
      <c r="G486" s="989"/>
      <c r="H486" s="650"/>
    </row>
    <row r="487" spans="1:8" s="651" customFormat="1" x14ac:dyDescent="0.25">
      <c r="A487" s="972"/>
      <c r="B487" s="1054" t="s">
        <v>17</v>
      </c>
      <c r="C487" s="1055" t="s">
        <v>557</v>
      </c>
      <c r="D487" s="1055" t="s">
        <v>242</v>
      </c>
      <c r="E487" s="1381">
        <v>0.01</v>
      </c>
      <c r="F487" s="1057">
        <f>F469</f>
        <v>110000</v>
      </c>
      <c r="G487" s="1057">
        <f>E487*F487</f>
        <v>1100</v>
      </c>
      <c r="H487" s="650"/>
    </row>
    <row r="488" spans="1:8" s="651" customFormat="1" x14ac:dyDescent="0.25">
      <c r="A488" s="976"/>
      <c r="B488" s="980" t="s">
        <v>51</v>
      </c>
      <c r="C488" s="981" t="s">
        <v>581</v>
      </c>
      <c r="D488" s="981" t="s">
        <v>242</v>
      </c>
      <c r="E488" s="1382">
        <v>0.1</v>
      </c>
      <c r="F488" s="1057">
        <f>F470</f>
        <v>153000</v>
      </c>
      <c r="G488" s="979">
        <f>E488*F488</f>
        <v>15300</v>
      </c>
      <c r="H488" s="650"/>
    </row>
    <row r="489" spans="1:8" s="651" customFormat="1" x14ac:dyDescent="0.25">
      <c r="A489" s="980"/>
      <c r="B489" s="980" t="s">
        <v>18</v>
      </c>
      <c r="C489" s="981" t="s">
        <v>582</v>
      </c>
      <c r="D489" s="981" t="s">
        <v>242</v>
      </c>
      <c r="E489" s="1383">
        <v>0.01</v>
      </c>
      <c r="F489" s="1057">
        <f>F471</f>
        <v>170000</v>
      </c>
      <c r="G489" s="979">
        <f>E489*F489</f>
        <v>1700</v>
      </c>
      <c r="H489" s="650"/>
    </row>
    <row r="490" spans="1:8" s="651" customFormat="1" x14ac:dyDescent="0.25">
      <c r="A490" s="980"/>
      <c r="B490" s="980" t="s">
        <v>19</v>
      </c>
      <c r="C490" s="981" t="s">
        <v>558</v>
      </c>
      <c r="D490" s="981" t="s">
        <v>242</v>
      </c>
      <c r="E490" s="1383">
        <v>5.0000000000000001E-4</v>
      </c>
      <c r="F490" s="1057">
        <f>F472</f>
        <v>150000</v>
      </c>
      <c r="G490" s="979">
        <f>E490*F490</f>
        <v>75</v>
      </c>
      <c r="H490" s="650"/>
    </row>
    <row r="491" spans="1:8" s="651" customFormat="1" x14ac:dyDescent="0.25">
      <c r="A491" s="980"/>
      <c r="B491" s="985"/>
      <c r="C491" s="986"/>
      <c r="D491" s="986"/>
      <c r="E491" s="987" t="s">
        <v>559</v>
      </c>
      <c r="F491" s="988"/>
      <c r="G491" s="989">
        <f>SUM(G487:G490)</f>
        <v>18175</v>
      </c>
      <c r="H491" s="650"/>
    </row>
    <row r="492" spans="1:8" s="651" customFormat="1" x14ac:dyDescent="0.25">
      <c r="A492" s="1035" t="s">
        <v>1</v>
      </c>
      <c r="B492" s="1016" t="s">
        <v>5</v>
      </c>
      <c r="C492" s="992"/>
      <c r="D492" s="992"/>
      <c r="E492" s="993"/>
      <c r="F492" s="1017"/>
      <c r="G492" s="1017"/>
      <c r="H492" s="650"/>
    </row>
    <row r="493" spans="1:8" s="651" customFormat="1" x14ac:dyDescent="0.25">
      <c r="A493" s="1016"/>
      <c r="B493" s="1379" t="s">
        <v>1169</v>
      </c>
      <c r="C493" s="992"/>
      <c r="D493" s="992" t="s">
        <v>308</v>
      </c>
      <c r="E493" s="993">
        <v>1</v>
      </c>
      <c r="F493" s="1039">
        <v>45000</v>
      </c>
      <c r="G493" s="1017">
        <f>E493*F493</f>
        <v>45000</v>
      </c>
      <c r="H493" s="650"/>
    </row>
    <row r="494" spans="1:8" s="651" customFormat="1" x14ac:dyDescent="0.25">
      <c r="A494" s="1035"/>
      <c r="B494" s="1380"/>
      <c r="C494" s="1052"/>
      <c r="D494" s="1052"/>
      <c r="E494" s="1053"/>
      <c r="F494" s="1039"/>
      <c r="G494" s="1017"/>
      <c r="H494" s="650"/>
    </row>
    <row r="495" spans="1:8" s="651" customFormat="1" x14ac:dyDescent="0.25">
      <c r="A495" s="984"/>
      <c r="B495" s="985"/>
      <c r="C495" s="986"/>
      <c r="D495" s="986"/>
      <c r="E495" s="987" t="s">
        <v>563</v>
      </c>
      <c r="F495" s="988"/>
      <c r="G495" s="989">
        <f>SUM(G493:G494)</f>
        <v>45000</v>
      </c>
      <c r="H495" s="650"/>
    </row>
    <row r="496" spans="1:8" s="651" customFormat="1" x14ac:dyDescent="0.25">
      <c r="A496" s="984"/>
      <c r="B496" s="990" t="s">
        <v>561</v>
      </c>
      <c r="C496" s="997"/>
      <c r="D496" s="997"/>
      <c r="E496" s="998"/>
      <c r="F496" s="995"/>
      <c r="G496" s="995"/>
      <c r="H496" s="650"/>
    </row>
    <row r="497" spans="1:8" s="651" customFormat="1" ht="15" customHeight="1" x14ac:dyDescent="0.25">
      <c r="A497" s="990" t="s">
        <v>560</v>
      </c>
      <c r="B497" s="985"/>
      <c r="C497" s="986"/>
      <c r="D497" s="986"/>
      <c r="E497" s="987" t="s">
        <v>562</v>
      </c>
      <c r="F497" s="988"/>
      <c r="G497" s="989"/>
      <c r="H497" s="650"/>
    </row>
    <row r="498" spans="1:8" s="651" customFormat="1" ht="15" customHeight="1" x14ac:dyDescent="0.25">
      <c r="A498" s="984"/>
      <c r="B498" s="984" t="s">
        <v>565</v>
      </c>
      <c r="C498" s="986"/>
      <c r="D498" s="986"/>
      <c r="E498" s="987"/>
      <c r="F498" s="1001"/>
      <c r="G498" s="989">
        <f>SUM(G491+G495)</f>
        <v>63175</v>
      </c>
      <c r="H498" s="650"/>
    </row>
    <row r="499" spans="1:8" s="651" customFormat="1" ht="15" customHeight="1" x14ac:dyDescent="0.25">
      <c r="A499" s="984" t="s">
        <v>564</v>
      </c>
      <c r="B499" s="984" t="s">
        <v>568</v>
      </c>
      <c r="C499" s="986"/>
      <c r="D499" s="986"/>
      <c r="E499" s="987"/>
      <c r="F499" s="1001"/>
      <c r="G499" s="989">
        <f>G498*0.15</f>
        <v>9476.25</v>
      </c>
      <c r="H499" s="650"/>
    </row>
    <row r="500" spans="1:8" s="651" customFormat="1" x14ac:dyDescent="0.25">
      <c r="A500" s="984" t="s">
        <v>566</v>
      </c>
      <c r="B500" s="984" t="s">
        <v>569</v>
      </c>
      <c r="C500" s="986"/>
      <c r="D500" s="986"/>
      <c r="E500" s="987"/>
      <c r="F500" s="1001"/>
      <c r="G500" s="1002">
        <f>SUM(G498:G499)</f>
        <v>72651.25</v>
      </c>
      <c r="H500" s="650"/>
    </row>
    <row r="501" spans="1:8" s="3" customFormat="1" x14ac:dyDescent="0.25">
      <c r="A501" s="996"/>
      <c r="B501" s="996"/>
      <c r="C501" s="1004"/>
      <c r="D501" s="1004"/>
      <c r="E501" s="1005"/>
      <c r="F501" s="1006"/>
      <c r="G501" s="1007"/>
      <c r="H501" s="628"/>
    </row>
    <row r="502" spans="1:8" s="3" customFormat="1" x14ac:dyDescent="0.25">
      <c r="A502" s="3" t="s">
        <v>1172</v>
      </c>
      <c r="B502" s="996"/>
      <c r="C502" s="1004"/>
      <c r="D502" s="1004"/>
      <c r="E502" s="1005"/>
      <c r="F502" s="1006"/>
      <c r="G502" s="1007"/>
      <c r="H502" s="628"/>
    </row>
    <row r="503" spans="1:8" s="651" customFormat="1" x14ac:dyDescent="0.25">
      <c r="A503" s="1034" t="s">
        <v>146</v>
      </c>
      <c r="B503" s="968" t="s">
        <v>550</v>
      </c>
      <c r="C503" s="969" t="s">
        <v>551</v>
      </c>
      <c r="D503" s="969" t="s">
        <v>552</v>
      </c>
      <c r="E503" s="970" t="s">
        <v>553</v>
      </c>
      <c r="F503" s="971" t="s">
        <v>554</v>
      </c>
      <c r="G503" s="971" t="s">
        <v>555</v>
      </c>
      <c r="H503" s="650"/>
    </row>
    <row r="504" spans="1:8" s="651" customFormat="1" x14ac:dyDescent="0.25">
      <c r="A504" s="968" t="s">
        <v>556</v>
      </c>
      <c r="B504" s="1034" t="s">
        <v>15</v>
      </c>
      <c r="C504" s="1052"/>
      <c r="D504" s="1052"/>
      <c r="E504" s="1053"/>
      <c r="F504" s="989"/>
      <c r="G504" s="989"/>
      <c r="H504" s="650"/>
    </row>
    <row r="505" spans="1:8" s="651" customFormat="1" x14ac:dyDescent="0.25">
      <c r="A505" s="972"/>
      <c r="B505" s="1054" t="s">
        <v>17</v>
      </c>
      <c r="C505" s="1055" t="s">
        <v>557</v>
      </c>
      <c r="D505" s="1055" t="s">
        <v>242</v>
      </c>
      <c r="E505" s="1381">
        <v>1.4999999999999999E-2</v>
      </c>
      <c r="F505" s="1057">
        <f>F487</f>
        <v>110000</v>
      </c>
      <c r="G505" s="1057">
        <f>E505*F505</f>
        <v>1650</v>
      </c>
      <c r="H505" s="650"/>
    </row>
    <row r="506" spans="1:8" s="651" customFormat="1" x14ac:dyDescent="0.25">
      <c r="A506" s="976"/>
      <c r="B506" s="980" t="s">
        <v>51</v>
      </c>
      <c r="C506" s="981" t="s">
        <v>581</v>
      </c>
      <c r="D506" s="981" t="s">
        <v>242</v>
      </c>
      <c r="E506" s="1382">
        <v>0.15</v>
      </c>
      <c r="F506" s="1057">
        <f t="shared" ref="F506:F508" si="0">F488</f>
        <v>153000</v>
      </c>
      <c r="G506" s="979">
        <f>E506*F506</f>
        <v>22950</v>
      </c>
      <c r="H506" s="650"/>
    </row>
    <row r="507" spans="1:8" s="651" customFormat="1" x14ac:dyDescent="0.25">
      <c r="A507" s="980"/>
      <c r="B507" s="980" t="s">
        <v>18</v>
      </c>
      <c r="C507" s="981" t="s">
        <v>582</v>
      </c>
      <c r="D507" s="981" t="s">
        <v>242</v>
      </c>
      <c r="E507" s="1383">
        <v>1.4999999999999999E-2</v>
      </c>
      <c r="F507" s="1057">
        <f t="shared" si="0"/>
        <v>170000</v>
      </c>
      <c r="G507" s="979">
        <f>E507*F507</f>
        <v>2550</v>
      </c>
      <c r="H507" s="650"/>
    </row>
    <row r="508" spans="1:8" s="651" customFormat="1" x14ac:dyDescent="0.25">
      <c r="A508" s="980"/>
      <c r="B508" s="980" t="s">
        <v>19</v>
      </c>
      <c r="C508" s="981" t="s">
        <v>558</v>
      </c>
      <c r="D508" s="981" t="s">
        <v>242</v>
      </c>
      <c r="E508" s="1383">
        <v>8.0000000000000002E-3</v>
      </c>
      <c r="F508" s="1057">
        <f t="shared" si="0"/>
        <v>150000</v>
      </c>
      <c r="G508" s="979">
        <f>E508*F508</f>
        <v>1200</v>
      </c>
      <c r="H508" s="650"/>
    </row>
    <row r="509" spans="1:8" s="651" customFormat="1" x14ac:dyDescent="0.25">
      <c r="A509" s="980"/>
      <c r="B509" s="985"/>
      <c r="C509" s="986"/>
      <c r="D509" s="986"/>
      <c r="E509" s="987" t="s">
        <v>559</v>
      </c>
      <c r="F509" s="988"/>
      <c r="G509" s="989">
        <f>SUM(G505:G508)</f>
        <v>28350</v>
      </c>
      <c r="H509" s="650"/>
    </row>
    <row r="510" spans="1:8" s="651" customFormat="1" x14ac:dyDescent="0.25">
      <c r="A510" s="1035" t="s">
        <v>1</v>
      </c>
      <c r="B510" s="1016" t="s">
        <v>5</v>
      </c>
      <c r="C510" s="992"/>
      <c r="D510" s="992"/>
      <c r="E510" s="993"/>
      <c r="F510" s="1017"/>
      <c r="G510" s="1017"/>
      <c r="H510" s="650"/>
    </row>
    <row r="511" spans="1:8" s="651" customFormat="1" x14ac:dyDescent="0.25">
      <c r="A511" s="1016"/>
      <c r="B511" s="1379" t="s">
        <v>1173</v>
      </c>
      <c r="C511" s="992"/>
      <c r="D511" s="992" t="s">
        <v>308</v>
      </c>
      <c r="E511" s="993">
        <v>1</v>
      </c>
      <c r="F511" s="1039">
        <v>25000</v>
      </c>
      <c r="G511" s="1017">
        <f>E511*F511</f>
        <v>25000</v>
      </c>
      <c r="H511" s="650"/>
    </row>
    <row r="512" spans="1:8" s="651" customFormat="1" x14ac:dyDescent="0.25">
      <c r="A512" s="1035"/>
      <c r="B512" s="1380"/>
      <c r="C512" s="1052"/>
      <c r="D512" s="1052"/>
      <c r="E512" s="1053"/>
      <c r="F512" s="1039"/>
      <c r="G512" s="1017"/>
      <c r="H512" s="650"/>
    </row>
    <row r="513" spans="1:8" s="651" customFormat="1" x14ac:dyDescent="0.25">
      <c r="A513" s="984"/>
      <c r="B513" s="985"/>
      <c r="C513" s="986"/>
      <c r="D513" s="986"/>
      <c r="E513" s="987" t="s">
        <v>563</v>
      </c>
      <c r="F513" s="988"/>
      <c r="G513" s="989">
        <f>SUM(G511:G512)</f>
        <v>25000</v>
      </c>
      <c r="H513" s="650"/>
    </row>
    <row r="514" spans="1:8" s="651" customFormat="1" x14ac:dyDescent="0.25">
      <c r="A514" s="984"/>
      <c r="B514" s="990" t="s">
        <v>561</v>
      </c>
      <c r="C514" s="997"/>
      <c r="D514" s="997"/>
      <c r="E514" s="998"/>
      <c r="F514" s="995"/>
      <c r="G514" s="995"/>
      <c r="H514" s="650"/>
    </row>
    <row r="515" spans="1:8" s="651" customFormat="1" ht="15" customHeight="1" x14ac:dyDescent="0.25">
      <c r="A515" s="990" t="s">
        <v>560</v>
      </c>
      <c r="B515" s="985"/>
      <c r="C515" s="986"/>
      <c r="D515" s="986"/>
      <c r="E515" s="987" t="s">
        <v>562</v>
      </c>
      <c r="F515" s="988"/>
      <c r="G515" s="989"/>
      <c r="H515" s="650"/>
    </row>
    <row r="516" spans="1:8" s="651" customFormat="1" ht="15" customHeight="1" x14ac:dyDescent="0.25">
      <c r="A516" s="984"/>
      <c r="B516" s="984" t="s">
        <v>565</v>
      </c>
      <c r="C516" s="986"/>
      <c r="D516" s="986"/>
      <c r="E516" s="987"/>
      <c r="F516" s="1001"/>
      <c r="G516" s="989">
        <f>SUM(G509+G513)</f>
        <v>53350</v>
      </c>
      <c r="H516" s="650"/>
    </row>
    <row r="517" spans="1:8" s="651" customFormat="1" ht="15" customHeight="1" x14ac:dyDescent="0.25">
      <c r="A517" s="984" t="s">
        <v>564</v>
      </c>
      <c r="B517" s="984" t="s">
        <v>568</v>
      </c>
      <c r="C517" s="986"/>
      <c r="D517" s="986"/>
      <c r="E517" s="987"/>
      <c r="F517" s="1001"/>
      <c r="G517" s="989">
        <f>G516*0.15</f>
        <v>8002.5</v>
      </c>
      <c r="H517" s="650"/>
    </row>
    <row r="518" spans="1:8" s="651" customFormat="1" x14ac:dyDescent="0.25">
      <c r="A518" s="984" t="s">
        <v>566</v>
      </c>
      <c r="B518" s="984" t="s">
        <v>569</v>
      </c>
      <c r="C518" s="986"/>
      <c r="D518" s="986"/>
      <c r="E518" s="987"/>
      <c r="F518" s="1001"/>
      <c r="G518" s="1002">
        <f>SUM(G516:G517)</f>
        <v>61352.5</v>
      </c>
      <c r="H518" s="650"/>
    </row>
    <row r="519" spans="1:8" s="3" customFormat="1" x14ac:dyDescent="0.25">
      <c r="A519" s="996"/>
      <c r="B519" s="996"/>
      <c r="C519" s="1004"/>
      <c r="D519" s="1004"/>
      <c r="E519" s="1005"/>
      <c r="F519" s="1006"/>
      <c r="G519" s="1007"/>
      <c r="H519" s="628"/>
    </row>
    <row r="520" spans="1:8" s="3" customFormat="1" x14ac:dyDescent="0.25">
      <c r="A520" s="996"/>
      <c r="B520" s="996"/>
      <c r="C520" s="1004"/>
      <c r="D520" s="1004"/>
      <c r="E520" s="1005"/>
      <c r="F520" s="1006"/>
      <c r="G520" s="1007"/>
      <c r="H520" s="628"/>
    </row>
    <row r="521" spans="1:8" s="3" customFormat="1" x14ac:dyDescent="0.25">
      <c r="A521" s="1469" t="s">
        <v>630</v>
      </c>
      <c r="B521" s="964"/>
      <c r="C521" s="1469" t="s">
        <v>631</v>
      </c>
      <c r="D521" s="965"/>
      <c r="E521" s="966"/>
      <c r="F521" s="967"/>
      <c r="G521" s="967"/>
      <c r="H521" s="628"/>
    </row>
    <row r="522" spans="1:8" s="3" customFormat="1" ht="15" customHeight="1" x14ac:dyDescent="0.25">
      <c r="A522" s="968" t="s">
        <v>146</v>
      </c>
      <c r="B522" s="968" t="s">
        <v>550</v>
      </c>
      <c r="C522" s="969" t="s">
        <v>551</v>
      </c>
      <c r="D522" s="969" t="s">
        <v>552</v>
      </c>
      <c r="E522" s="970" t="s">
        <v>553</v>
      </c>
      <c r="F522" s="971" t="s">
        <v>554</v>
      </c>
      <c r="G522" s="971" t="s">
        <v>555</v>
      </c>
      <c r="H522" s="628"/>
    </row>
    <row r="523" spans="1:8" s="3" customFormat="1" x14ac:dyDescent="0.25">
      <c r="A523" s="972" t="s">
        <v>556</v>
      </c>
      <c r="B523" s="972" t="s">
        <v>15</v>
      </c>
      <c r="C523" s="973"/>
      <c r="D523" s="973"/>
      <c r="E523" s="974"/>
      <c r="F523" s="975"/>
      <c r="G523" s="975"/>
      <c r="H523" s="628"/>
    </row>
    <row r="524" spans="1:8" x14ac:dyDescent="0.25">
      <c r="A524" s="976"/>
      <c r="B524" s="976" t="s">
        <v>17</v>
      </c>
      <c r="C524" s="977" t="s">
        <v>557</v>
      </c>
      <c r="D524" s="977" t="s">
        <v>242</v>
      </c>
      <c r="E524" s="978">
        <v>0.12</v>
      </c>
      <c r="F524" s="979">
        <f>F340</f>
        <v>110000</v>
      </c>
      <c r="G524" s="979">
        <f>E524*F524</f>
        <v>13200</v>
      </c>
    </row>
    <row r="525" spans="1:8" x14ac:dyDescent="0.25">
      <c r="A525" s="980"/>
      <c r="B525" s="980" t="s">
        <v>597</v>
      </c>
      <c r="C525" s="981" t="s">
        <v>581</v>
      </c>
      <c r="D525" s="981" t="s">
        <v>242</v>
      </c>
      <c r="E525" s="982">
        <v>0.06</v>
      </c>
      <c r="F525" s="979">
        <f>F341</f>
        <v>153000</v>
      </c>
      <c r="G525" s="979">
        <f>E525*F525</f>
        <v>9180</v>
      </c>
    </row>
    <row r="526" spans="1:8" x14ac:dyDescent="0.25">
      <c r="A526" s="980"/>
      <c r="B526" s="980" t="s">
        <v>18</v>
      </c>
      <c r="C526" s="981" t="s">
        <v>582</v>
      </c>
      <c r="D526" s="981" t="s">
        <v>242</v>
      </c>
      <c r="E526" s="982">
        <v>6.0000000000000001E-3</v>
      </c>
      <c r="F526" s="979">
        <f>F342</f>
        <v>170000</v>
      </c>
      <c r="G526" s="979">
        <f>E526*F526</f>
        <v>1020</v>
      </c>
    </row>
    <row r="527" spans="1:8" x14ac:dyDescent="0.25">
      <c r="A527" s="980"/>
      <c r="B527" s="980" t="s">
        <v>19</v>
      </c>
      <c r="C527" s="981" t="s">
        <v>558</v>
      </c>
      <c r="D527" s="981" t="s">
        <v>242</v>
      </c>
      <c r="E527" s="982">
        <v>6.0000000000000001E-3</v>
      </c>
      <c r="F527" s="979">
        <f>F343</f>
        <v>150000</v>
      </c>
      <c r="G527" s="979">
        <f>E527*F527</f>
        <v>900</v>
      </c>
    </row>
    <row r="528" spans="1:8" ht="15.75" customHeight="1" x14ac:dyDescent="0.25">
      <c r="A528" s="984"/>
      <c r="B528" s="985"/>
      <c r="C528" s="986"/>
      <c r="D528" s="986"/>
      <c r="E528" s="987" t="s">
        <v>559</v>
      </c>
      <c r="F528" s="988"/>
      <c r="G528" s="989">
        <f>SUM(G524:G527)</f>
        <v>24300</v>
      </c>
    </row>
    <row r="529" spans="1:8" x14ac:dyDescent="0.25">
      <c r="A529" s="1016" t="s">
        <v>1</v>
      </c>
      <c r="B529" s="1016" t="s">
        <v>5</v>
      </c>
      <c r="C529" s="992"/>
      <c r="D529" s="992"/>
      <c r="E529" s="993"/>
      <c r="F529" s="1017"/>
      <c r="G529" s="1017"/>
    </row>
    <row r="530" spans="1:8" x14ac:dyDescent="0.25">
      <c r="A530" s="1018"/>
      <c r="B530" s="1019" t="s">
        <v>604</v>
      </c>
      <c r="C530" s="973"/>
      <c r="D530" s="973" t="s">
        <v>309</v>
      </c>
      <c r="E530" s="974">
        <v>0.7</v>
      </c>
      <c r="F530" s="1020">
        <f>'UPah &amp; Bahan oke'!H50</f>
        <v>58000</v>
      </c>
      <c r="G530" s="975">
        <f>E530*F530</f>
        <v>40600</v>
      </c>
    </row>
    <row r="531" spans="1:8" x14ac:dyDescent="0.25">
      <c r="A531" s="1010"/>
      <c r="B531" s="1011" t="s">
        <v>478</v>
      </c>
      <c r="C531" s="1012"/>
      <c r="D531" s="1012" t="s">
        <v>12</v>
      </c>
      <c r="E531" s="1013">
        <v>0.02</v>
      </c>
      <c r="F531" s="1014">
        <f>'UPah &amp; Bahan oke'!H60</f>
        <v>40000</v>
      </c>
      <c r="G531" s="1015">
        <f>E531*F531</f>
        <v>800</v>
      </c>
    </row>
    <row r="532" spans="1:8" ht="15" customHeight="1" x14ac:dyDescent="0.25">
      <c r="A532" s="984"/>
      <c r="B532" s="985"/>
      <c r="C532" s="986"/>
      <c r="D532" s="986"/>
      <c r="E532" s="987" t="s">
        <v>563</v>
      </c>
      <c r="F532" s="988"/>
      <c r="G532" s="989">
        <f>SUM(G530:G531)</f>
        <v>41400</v>
      </c>
    </row>
    <row r="533" spans="1:8" ht="15" customHeight="1" x14ac:dyDescent="0.25">
      <c r="A533" s="990" t="s">
        <v>560</v>
      </c>
      <c r="B533" s="990" t="s">
        <v>561</v>
      </c>
      <c r="C533" s="997"/>
      <c r="D533" s="997"/>
      <c r="E533" s="998"/>
      <c r="F533" s="995"/>
      <c r="G533" s="995"/>
    </row>
    <row r="534" spans="1:8" ht="15" customHeight="1" x14ac:dyDescent="0.25">
      <c r="A534" s="984"/>
      <c r="B534" s="985"/>
      <c r="C534" s="986"/>
      <c r="D534" s="986"/>
      <c r="E534" s="987" t="s">
        <v>562</v>
      </c>
      <c r="F534" s="988"/>
      <c r="G534" s="989"/>
    </row>
    <row r="535" spans="1:8" ht="15.75" customHeight="1" x14ac:dyDescent="0.25">
      <c r="A535" s="984" t="s">
        <v>564</v>
      </c>
      <c r="B535" s="984" t="s">
        <v>565</v>
      </c>
      <c r="C535" s="986"/>
      <c r="D535" s="986"/>
      <c r="E535" s="987"/>
      <c r="F535" s="1001"/>
      <c r="G535" s="989">
        <f>SUM(G528+G532)</f>
        <v>65700</v>
      </c>
    </row>
    <row r="536" spans="1:8" x14ac:dyDescent="0.25">
      <c r="A536" s="984" t="s">
        <v>566</v>
      </c>
      <c r="B536" s="984" t="s">
        <v>568</v>
      </c>
      <c r="C536" s="986"/>
      <c r="D536" s="986"/>
      <c r="E536" s="987"/>
      <c r="F536" s="1001"/>
      <c r="G536" s="989">
        <f>G535*0.15</f>
        <v>9855</v>
      </c>
    </row>
    <row r="537" spans="1:8" ht="15.75" customHeight="1" x14ac:dyDescent="0.25">
      <c r="A537" s="984" t="s">
        <v>567</v>
      </c>
      <c r="B537" s="984" t="s">
        <v>569</v>
      </c>
      <c r="C537" s="986"/>
      <c r="D537" s="986"/>
      <c r="E537" s="987"/>
      <c r="F537" s="1001"/>
      <c r="G537" s="1002">
        <f>SUM(G535:G536)</f>
        <v>75555</v>
      </c>
    </row>
    <row r="538" spans="1:8" ht="15.75" customHeight="1" x14ac:dyDescent="0.25">
      <c r="A538" s="996"/>
      <c r="B538" s="996"/>
      <c r="C538" s="1004"/>
      <c r="D538" s="1004"/>
      <c r="E538" s="1005"/>
      <c r="F538" s="1006"/>
      <c r="G538" s="1007"/>
    </row>
    <row r="539" spans="1:8" s="651" customFormat="1" ht="15.75" customHeight="1" x14ac:dyDescent="0.25">
      <c r="A539" s="1470" t="s">
        <v>743</v>
      </c>
      <c r="B539" s="1471" t="s">
        <v>744</v>
      </c>
      <c r="C539" s="1058"/>
      <c r="D539" s="1059"/>
      <c r="E539" s="1060"/>
      <c r="F539" s="1061"/>
      <c r="G539" s="1062"/>
      <c r="H539" s="650"/>
    </row>
    <row r="540" spans="1:8" s="651" customFormat="1" x14ac:dyDescent="0.25">
      <c r="A540" s="968" t="s">
        <v>146</v>
      </c>
      <c r="B540" s="968" t="s">
        <v>550</v>
      </c>
      <c r="C540" s="969" t="s">
        <v>551</v>
      </c>
      <c r="D540" s="969" t="s">
        <v>552</v>
      </c>
      <c r="E540" s="970" t="s">
        <v>553</v>
      </c>
      <c r="F540" s="971" t="s">
        <v>554</v>
      </c>
      <c r="G540" s="971" t="s">
        <v>555</v>
      </c>
      <c r="H540" s="650"/>
    </row>
    <row r="541" spans="1:8" s="651" customFormat="1" x14ac:dyDescent="0.25">
      <c r="A541" s="1063" t="s">
        <v>556</v>
      </c>
      <c r="B541" s="1064" t="s">
        <v>746</v>
      </c>
      <c r="C541" s="1064"/>
      <c r="D541" s="1065"/>
      <c r="E541" s="1066"/>
      <c r="F541" s="1067"/>
      <c r="G541" s="975"/>
      <c r="H541" s="650"/>
    </row>
    <row r="542" spans="1:8" s="651" customFormat="1" x14ac:dyDescent="0.25">
      <c r="A542" s="1068"/>
      <c r="B542" s="1069" t="s">
        <v>17</v>
      </c>
      <c r="C542" s="977" t="s">
        <v>557</v>
      </c>
      <c r="D542" s="977" t="s">
        <v>242</v>
      </c>
      <c r="E542" s="1070">
        <v>0.12</v>
      </c>
      <c r="F542" s="1071">
        <f>'UPah &amp; Bahan oke'!$H$9</f>
        <v>110000</v>
      </c>
      <c r="G542" s="979">
        <f>E542*F542</f>
        <v>13200</v>
      </c>
      <c r="H542" s="650"/>
    </row>
    <row r="543" spans="1:8" s="651" customFormat="1" x14ac:dyDescent="0.25">
      <c r="A543" s="1068"/>
      <c r="B543" s="1069" t="s">
        <v>597</v>
      </c>
      <c r="C543" s="977" t="s">
        <v>581</v>
      </c>
      <c r="D543" s="977" t="s">
        <v>242</v>
      </c>
      <c r="E543" s="1070">
        <v>0.06</v>
      </c>
      <c r="F543" s="1071">
        <f>'UPah &amp; Bahan oke'!$H$10</f>
        <v>153000</v>
      </c>
      <c r="G543" s="979">
        <f>E543*F543</f>
        <v>9180</v>
      </c>
      <c r="H543" s="650"/>
    </row>
    <row r="544" spans="1:8" s="651" customFormat="1" x14ac:dyDescent="0.25">
      <c r="A544" s="1068"/>
      <c r="B544" s="1069" t="s">
        <v>18</v>
      </c>
      <c r="C544" s="977" t="s">
        <v>582</v>
      </c>
      <c r="D544" s="977" t="s">
        <v>242</v>
      </c>
      <c r="E544" s="1070">
        <v>6.0000000000000001E-3</v>
      </c>
      <c r="F544" s="1071">
        <f>'UPah &amp; Bahan oke'!$H$11</f>
        <v>170000</v>
      </c>
      <c r="G544" s="979">
        <f>E544*F544</f>
        <v>1020</v>
      </c>
      <c r="H544" s="650"/>
    </row>
    <row r="545" spans="1:8" s="651" customFormat="1" x14ac:dyDescent="0.25">
      <c r="A545" s="1072"/>
      <c r="B545" s="1073" t="s">
        <v>19</v>
      </c>
      <c r="C545" s="1012" t="s">
        <v>558</v>
      </c>
      <c r="D545" s="1012" t="s">
        <v>242</v>
      </c>
      <c r="E545" s="1074">
        <v>6.0000000000000001E-3</v>
      </c>
      <c r="F545" s="1075">
        <f>'UPah &amp; Bahan oke'!$H$12</f>
        <v>150000</v>
      </c>
      <c r="G545" s="1015">
        <f>E545*F545</f>
        <v>900</v>
      </c>
      <c r="H545" s="650"/>
    </row>
    <row r="546" spans="1:8" s="651" customFormat="1" x14ac:dyDescent="0.25">
      <c r="A546" s="1076"/>
      <c r="B546" s="985"/>
      <c r="C546" s="986"/>
      <c r="D546" s="986"/>
      <c r="E546" s="987" t="s">
        <v>559</v>
      </c>
      <c r="F546" s="988"/>
      <c r="G546" s="989">
        <f>SUM(G542:G545)</f>
        <v>24300</v>
      </c>
      <c r="H546" s="650"/>
    </row>
    <row r="547" spans="1:8" s="651" customFormat="1" x14ac:dyDescent="0.25">
      <c r="A547" s="1063" t="s">
        <v>1</v>
      </c>
      <c r="B547" s="1063" t="s">
        <v>5</v>
      </c>
      <c r="C547" s="1063"/>
      <c r="D547" s="1077"/>
      <c r="E547" s="1066"/>
      <c r="F547" s="1067"/>
      <c r="G547" s="975"/>
      <c r="H547" s="650"/>
    </row>
    <row r="548" spans="1:8" s="651" customFormat="1" x14ac:dyDescent="0.25">
      <c r="A548" s="1078"/>
      <c r="B548" s="1079" t="s">
        <v>745</v>
      </c>
      <c r="C548" s="1079"/>
      <c r="D548" s="1080" t="s">
        <v>309</v>
      </c>
      <c r="E548" s="1081">
        <v>1.1000000000000001</v>
      </c>
      <c r="F548" s="1082">
        <f>'UPah &amp; Bahan oke'!$H$71</f>
        <v>56100</v>
      </c>
      <c r="G548" s="1015">
        <f>E548*F548</f>
        <v>61710.000000000007</v>
      </c>
      <c r="H548" s="650"/>
    </row>
    <row r="549" spans="1:8" s="651" customFormat="1" x14ac:dyDescent="0.25">
      <c r="A549" s="984"/>
      <c r="B549" s="985"/>
      <c r="C549" s="986"/>
      <c r="D549" s="986"/>
      <c r="E549" s="987" t="s">
        <v>563</v>
      </c>
      <c r="F549" s="988"/>
      <c r="G549" s="989">
        <f>SUM(G547:G548)</f>
        <v>61710.000000000007</v>
      </c>
      <c r="H549" s="650"/>
    </row>
    <row r="550" spans="1:8" s="651" customFormat="1" x14ac:dyDescent="0.25">
      <c r="A550" s="984" t="s">
        <v>560</v>
      </c>
      <c r="B550" s="984" t="s">
        <v>752</v>
      </c>
      <c r="C550" s="986"/>
      <c r="D550" s="986"/>
      <c r="E550" s="987"/>
      <c r="F550" s="1001"/>
      <c r="G550" s="989">
        <f>SUM(G546+G549)</f>
        <v>86010</v>
      </c>
      <c r="H550" s="650"/>
    </row>
    <row r="551" spans="1:8" s="651" customFormat="1" x14ac:dyDescent="0.25">
      <c r="A551" s="984" t="s">
        <v>564</v>
      </c>
      <c r="B551" s="984" t="s">
        <v>568</v>
      </c>
      <c r="C551" s="986"/>
      <c r="D551" s="986"/>
      <c r="E551" s="987"/>
      <c r="F551" s="1001"/>
      <c r="G551" s="989">
        <f>G550*0.15</f>
        <v>12901.5</v>
      </c>
      <c r="H551" s="650"/>
    </row>
    <row r="552" spans="1:8" s="651" customFormat="1" x14ac:dyDescent="0.25">
      <c r="A552" s="984" t="s">
        <v>566</v>
      </c>
      <c r="B552" s="984" t="s">
        <v>569</v>
      </c>
      <c r="C552" s="986"/>
      <c r="D552" s="986"/>
      <c r="E552" s="987"/>
      <c r="F552" s="1001"/>
      <c r="G552" s="1002">
        <f>SUM(G550:G551)</f>
        <v>98911.5</v>
      </c>
      <c r="H552" s="650"/>
    </row>
    <row r="553" spans="1:8" s="651" customFormat="1" x14ac:dyDescent="0.25">
      <c r="A553" s="1470" t="s">
        <v>747</v>
      </c>
      <c r="B553" s="1471" t="s">
        <v>748</v>
      </c>
      <c r="C553" s="1058"/>
      <c r="D553" s="1059"/>
      <c r="E553" s="1060"/>
      <c r="F553" s="1061"/>
      <c r="G553" s="1062"/>
      <c r="H553" s="650"/>
    </row>
    <row r="554" spans="1:8" s="651" customFormat="1" x14ac:dyDescent="0.25">
      <c r="A554" s="968" t="s">
        <v>146</v>
      </c>
      <c r="B554" s="968" t="s">
        <v>550</v>
      </c>
      <c r="C554" s="969" t="s">
        <v>551</v>
      </c>
      <c r="D554" s="969" t="s">
        <v>552</v>
      </c>
      <c r="E554" s="970" t="s">
        <v>553</v>
      </c>
      <c r="F554" s="971" t="s">
        <v>554</v>
      </c>
      <c r="G554" s="971" t="s">
        <v>555</v>
      </c>
      <c r="H554" s="650"/>
    </row>
    <row r="555" spans="1:8" s="651" customFormat="1" x14ac:dyDescent="0.25">
      <c r="A555" s="1063" t="s">
        <v>556</v>
      </c>
      <c r="B555" s="1064" t="s">
        <v>746</v>
      </c>
      <c r="C555" s="1064"/>
      <c r="D555" s="1065"/>
      <c r="E555" s="1066"/>
      <c r="F555" s="1067"/>
      <c r="G555" s="975"/>
      <c r="H555" s="650"/>
    </row>
    <row r="556" spans="1:8" s="651" customFormat="1" x14ac:dyDescent="0.25">
      <c r="A556" s="1068"/>
      <c r="B556" s="1069" t="s">
        <v>17</v>
      </c>
      <c r="C556" s="977" t="s">
        <v>557</v>
      </c>
      <c r="D556" s="977" t="s">
        <v>242</v>
      </c>
      <c r="E556" s="1070">
        <v>0.14000000000000001</v>
      </c>
      <c r="F556" s="1071">
        <f>'UPah &amp; Bahan oke'!$H$9</f>
        <v>110000</v>
      </c>
      <c r="G556" s="979">
        <f>E556*F556</f>
        <v>15400.000000000002</v>
      </c>
      <c r="H556" s="650"/>
    </row>
    <row r="557" spans="1:8" s="651" customFormat="1" x14ac:dyDescent="0.25">
      <c r="A557" s="1068"/>
      <c r="B557" s="1069" t="s">
        <v>597</v>
      </c>
      <c r="C557" s="977" t="s">
        <v>581</v>
      </c>
      <c r="D557" s="977" t="s">
        <v>242</v>
      </c>
      <c r="E557" s="1070">
        <v>6.7000000000000004E-2</v>
      </c>
      <c r="F557" s="1071">
        <f>'UPah &amp; Bahan oke'!$H$10</f>
        <v>153000</v>
      </c>
      <c r="G557" s="979">
        <f>E557*F557</f>
        <v>10251</v>
      </c>
      <c r="H557" s="650"/>
    </row>
    <row r="558" spans="1:8" s="651" customFormat="1" x14ac:dyDescent="0.25">
      <c r="A558" s="1068"/>
      <c r="B558" s="1069" t="s">
        <v>18</v>
      </c>
      <c r="C558" s="977" t="s">
        <v>582</v>
      </c>
      <c r="D558" s="977" t="s">
        <v>242</v>
      </c>
      <c r="E558" s="1070">
        <v>7.0000000000000001E-3</v>
      </c>
      <c r="F558" s="1071">
        <f>'UPah &amp; Bahan oke'!$H$11</f>
        <v>170000</v>
      </c>
      <c r="G558" s="979">
        <f>E558*F558</f>
        <v>1190</v>
      </c>
      <c r="H558" s="650"/>
    </row>
    <row r="559" spans="1:8" s="651" customFormat="1" x14ac:dyDescent="0.25">
      <c r="A559" s="1072"/>
      <c r="B559" s="1073" t="s">
        <v>19</v>
      </c>
      <c r="C559" s="1012" t="s">
        <v>558</v>
      </c>
      <c r="D559" s="1012" t="s">
        <v>242</v>
      </c>
      <c r="E559" s="1074">
        <v>7.0000000000000001E-3</v>
      </c>
      <c r="F559" s="1075">
        <f>'UPah &amp; Bahan oke'!$H$12</f>
        <v>150000</v>
      </c>
      <c r="G559" s="1015">
        <f>E559*F559</f>
        <v>1050</v>
      </c>
      <c r="H559" s="650"/>
    </row>
    <row r="560" spans="1:8" s="651" customFormat="1" x14ac:dyDescent="0.25">
      <c r="A560" s="1076"/>
      <c r="B560" s="985"/>
      <c r="C560" s="986"/>
      <c r="D560" s="986"/>
      <c r="E560" s="987" t="s">
        <v>559</v>
      </c>
      <c r="F560" s="988"/>
      <c r="G560" s="989">
        <f>SUM(G556:G559)</f>
        <v>27891</v>
      </c>
      <c r="H560" s="650"/>
    </row>
    <row r="561" spans="1:8" s="651" customFormat="1" x14ac:dyDescent="0.25">
      <c r="A561" s="1063" t="s">
        <v>1</v>
      </c>
      <c r="B561" s="1063" t="s">
        <v>5</v>
      </c>
      <c r="C561" s="1063"/>
      <c r="D561" s="1077"/>
      <c r="E561" s="1066"/>
      <c r="F561" s="1067"/>
      <c r="G561" s="975"/>
      <c r="H561" s="650"/>
    </row>
    <row r="562" spans="1:8" s="651" customFormat="1" x14ac:dyDescent="0.25">
      <c r="A562" s="1083"/>
      <c r="B562" s="1084" t="s">
        <v>749</v>
      </c>
      <c r="C562" s="1084"/>
      <c r="D562" s="1085" t="s">
        <v>309</v>
      </c>
      <c r="E562" s="1086">
        <v>1.1000000000000001</v>
      </c>
      <c r="F562" s="1087">
        <f>'UPah &amp; Bahan oke'!H72</f>
        <v>56000</v>
      </c>
      <c r="G562" s="983">
        <f>E562*F562</f>
        <v>61600.000000000007</v>
      </c>
      <c r="H562" s="650"/>
    </row>
    <row r="563" spans="1:8" s="651" customFormat="1" x14ac:dyDescent="0.25">
      <c r="A563" s="1078"/>
      <c r="B563" s="1079" t="s">
        <v>1242</v>
      </c>
      <c r="C563" s="1079"/>
      <c r="D563" s="1080" t="s">
        <v>58</v>
      </c>
      <c r="E563" s="1081">
        <v>2</v>
      </c>
      <c r="F563" s="1082">
        <f>'UPah &amp; Bahan oke'!H73</f>
        <v>700</v>
      </c>
      <c r="G563" s="1015">
        <f>E563*F563</f>
        <v>1400</v>
      </c>
      <c r="H563" s="650"/>
    </row>
    <row r="564" spans="1:8" s="651" customFormat="1" x14ac:dyDescent="0.25">
      <c r="A564" s="1088"/>
      <c r="B564" s="1089"/>
      <c r="C564" s="1089"/>
      <c r="D564" s="1090"/>
      <c r="E564" s="1091"/>
      <c r="F564" s="1092"/>
      <c r="G564" s="1037"/>
      <c r="H564" s="650"/>
    </row>
    <row r="565" spans="1:8" s="651" customFormat="1" x14ac:dyDescent="0.25">
      <c r="A565" s="984"/>
      <c r="B565" s="985"/>
      <c r="C565" s="986"/>
      <c r="D565" s="986"/>
      <c r="E565" s="987" t="s">
        <v>563</v>
      </c>
      <c r="F565" s="988"/>
      <c r="G565" s="989">
        <f>SUM(G562:G563)</f>
        <v>63000.000000000007</v>
      </c>
      <c r="H565" s="650"/>
    </row>
    <row r="566" spans="1:8" s="651" customFormat="1" x14ac:dyDescent="0.25">
      <c r="A566" s="984" t="s">
        <v>560</v>
      </c>
      <c r="B566" s="984" t="s">
        <v>752</v>
      </c>
      <c r="C566" s="986"/>
      <c r="D566" s="986"/>
      <c r="E566" s="987"/>
      <c r="F566" s="1001"/>
      <c r="G566" s="989">
        <f>SUM(G560+G565)</f>
        <v>90891</v>
      </c>
      <c r="H566" s="650"/>
    </row>
    <row r="567" spans="1:8" s="651" customFormat="1" x14ac:dyDescent="0.25">
      <c r="A567" s="984" t="s">
        <v>564</v>
      </c>
      <c r="B567" s="984" t="s">
        <v>568</v>
      </c>
      <c r="C567" s="986"/>
      <c r="D567" s="986"/>
      <c r="E567" s="987"/>
      <c r="F567" s="1001"/>
      <c r="G567" s="989">
        <f>G566*0.15</f>
        <v>13633.65</v>
      </c>
      <c r="H567" s="650"/>
    </row>
    <row r="568" spans="1:8" s="651" customFormat="1" x14ac:dyDescent="0.25">
      <c r="A568" s="984" t="s">
        <v>566</v>
      </c>
      <c r="B568" s="984" t="s">
        <v>569</v>
      </c>
      <c r="C568" s="986"/>
      <c r="D568" s="986"/>
      <c r="E568" s="987"/>
      <c r="F568" s="1001"/>
      <c r="G568" s="1002">
        <f>SUM(G566:G567)</f>
        <v>104524.65</v>
      </c>
      <c r="H568" s="650"/>
    </row>
    <row r="569" spans="1:8" s="651" customFormat="1" x14ac:dyDescent="0.25">
      <c r="A569" s="1390"/>
      <c r="B569" s="1390"/>
      <c r="C569" s="1391"/>
      <c r="D569" s="1391"/>
      <c r="E569" s="1392"/>
      <c r="F569" s="1393"/>
      <c r="G569" s="1394"/>
      <c r="H569" s="650"/>
    </row>
    <row r="570" spans="1:8" s="651" customFormat="1" x14ac:dyDescent="0.25">
      <c r="A570" s="1470" t="s">
        <v>763</v>
      </c>
      <c r="B570" s="1471" t="s">
        <v>764</v>
      </c>
      <c r="C570" s="1058"/>
      <c r="D570" s="1059"/>
      <c r="E570" s="1060"/>
      <c r="F570" s="1061"/>
      <c r="G570" s="1062"/>
      <c r="H570" s="650"/>
    </row>
    <row r="571" spans="1:8" s="651" customFormat="1" x14ac:dyDescent="0.25">
      <c r="A571" s="968" t="s">
        <v>146</v>
      </c>
      <c r="B571" s="968" t="s">
        <v>550</v>
      </c>
      <c r="C571" s="969" t="s">
        <v>551</v>
      </c>
      <c r="D571" s="969" t="s">
        <v>552</v>
      </c>
      <c r="E571" s="970" t="s">
        <v>553</v>
      </c>
      <c r="F571" s="971" t="s">
        <v>554</v>
      </c>
      <c r="G571" s="971" t="s">
        <v>555</v>
      </c>
      <c r="H571" s="650"/>
    </row>
    <row r="572" spans="1:8" s="651" customFormat="1" x14ac:dyDescent="0.25">
      <c r="A572" s="1063" t="s">
        <v>556</v>
      </c>
      <c r="B572" s="1064" t="s">
        <v>746</v>
      </c>
      <c r="C572" s="1064"/>
      <c r="D572" s="1065"/>
      <c r="E572" s="1066"/>
      <c r="F572" s="1067"/>
      <c r="G572" s="975"/>
      <c r="H572" s="650"/>
    </row>
    <row r="573" spans="1:8" s="651" customFormat="1" x14ac:dyDescent="0.25">
      <c r="A573" s="1068"/>
      <c r="B573" s="1069" t="s">
        <v>17</v>
      </c>
      <c r="C573" s="977" t="s">
        <v>557</v>
      </c>
      <c r="D573" s="977" t="s">
        <v>242</v>
      </c>
      <c r="E573" s="1070">
        <v>2.2000000000000002E-2</v>
      </c>
      <c r="F573" s="1071">
        <f>'UPah &amp; Bahan oke'!$H$9</f>
        <v>110000</v>
      </c>
      <c r="G573" s="979">
        <f>E573*F573</f>
        <v>2420.0000000000005</v>
      </c>
      <c r="H573" s="650"/>
    </row>
    <row r="574" spans="1:8" s="651" customFormat="1" x14ac:dyDescent="0.25">
      <c r="A574" s="1068"/>
      <c r="B574" s="1069" t="s">
        <v>597</v>
      </c>
      <c r="C574" s="977" t="s">
        <v>581</v>
      </c>
      <c r="D574" s="977" t="s">
        <v>242</v>
      </c>
      <c r="E574" s="1070">
        <v>4.4000000000000004E-2</v>
      </c>
      <c r="F574" s="1071">
        <f>'UPah &amp; Bahan oke'!$H$10</f>
        <v>153000</v>
      </c>
      <c r="G574" s="979">
        <f>E574*F574</f>
        <v>6732.0000000000009</v>
      </c>
      <c r="H574" s="650"/>
    </row>
    <row r="575" spans="1:8" s="651" customFormat="1" x14ac:dyDescent="0.25">
      <c r="A575" s="1068"/>
      <c r="B575" s="1069" t="s">
        <v>18</v>
      </c>
      <c r="C575" s="977" t="s">
        <v>582</v>
      </c>
      <c r="D575" s="977" t="s">
        <v>242</v>
      </c>
      <c r="E575" s="1070">
        <v>4.4000000000000003E-3</v>
      </c>
      <c r="F575" s="1071">
        <f>'UPah &amp; Bahan oke'!$H$11</f>
        <v>170000</v>
      </c>
      <c r="G575" s="979">
        <f>E575*F575</f>
        <v>748</v>
      </c>
      <c r="H575" s="650"/>
    </row>
    <row r="576" spans="1:8" s="651" customFormat="1" x14ac:dyDescent="0.25">
      <c r="A576" s="1072"/>
      <c r="B576" s="1073" t="s">
        <v>19</v>
      </c>
      <c r="C576" s="1012" t="s">
        <v>558</v>
      </c>
      <c r="D576" s="1012" t="s">
        <v>242</v>
      </c>
      <c r="E576" s="1074">
        <v>1E-3</v>
      </c>
      <c r="F576" s="1075">
        <f>'UPah &amp; Bahan oke'!$H$12</f>
        <v>150000</v>
      </c>
      <c r="G576" s="1015">
        <f>E576*F576</f>
        <v>150</v>
      </c>
      <c r="H576" s="650"/>
    </row>
    <row r="577" spans="1:8" s="651" customFormat="1" x14ac:dyDescent="0.25">
      <c r="A577" s="1076"/>
      <c r="B577" s="985"/>
      <c r="C577" s="986"/>
      <c r="D577" s="986"/>
      <c r="E577" s="987" t="s">
        <v>559</v>
      </c>
      <c r="F577" s="988"/>
      <c r="G577" s="989">
        <f>SUM(G573:G576)</f>
        <v>10050.000000000002</v>
      </c>
      <c r="H577" s="650"/>
    </row>
    <row r="578" spans="1:8" s="651" customFormat="1" x14ac:dyDescent="0.25">
      <c r="A578" s="1063" t="s">
        <v>1</v>
      </c>
      <c r="B578" s="1063" t="s">
        <v>5</v>
      </c>
      <c r="C578" s="1063"/>
      <c r="D578" s="1077"/>
      <c r="E578" s="1066"/>
      <c r="F578" s="1067"/>
      <c r="G578" s="975"/>
      <c r="H578" s="650"/>
    </row>
    <row r="579" spans="1:8" s="651" customFormat="1" x14ac:dyDescent="0.25">
      <c r="A579" s="1083"/>
      <c r="B579" s="1084" t="s">
        <v>765</v>
      </c>
      <c r="C579" s="1084"/>
      <c r="D579" s="1085" t="s">
        <v>89</v>
      </c>
      <c r="E579" s="1086">
        <v>7.5999999999999998E-2</v>
      </c>
      <c r="F579" s="1087">
        <f>'UPah &amp; Bahan oke'!H76</f>
        <v>95000</v>
      </c>
      <c r="G579" s="983">
        <f>E579*F579</f>
        <v>7220</v>
      </c>
      <c r="H579" s="650"/>
    </row>
    <row r="580" spans="1:8" s="651" customFormat="1" x14ac:dyDescent="0.25">
      <c r="A580" s="1078"/>
      <c r="B580" s="1079" t="s">
        <v>766</v>
      </c>
      <c r="C580" s="1079"/>
      <c r="D580" s="1080" t="s">
        <v>12</v>
      </c>
      <c r="E580" s="1081">
        <v>0.05</v>
      </c>
      <c r="F580" s="1082">
        <f>'UPah &amp; Bahan oke'!H77</f>
        <v>18400</v>
      </c>
      <c r="G580" s="1015">
        <f>E580*F580</f>
        <v>920</v>
      </c>
      <c r="H580" s="650"/>
    </row>
    <row r="581" spans="1:8" s="651" customFormat="1" x14ac:dyDescent="0.25">
      <c r="A581" s="1088"/>
      <c r="B581" s="1089"/>
      <c r="C581" s="1089"/>
      <c r="D581" s="1090"/>
      <c r="E581" s="1091"/>
      <c r="F581" s="1092"/>
      <c r="G581" s="1037"/>
      <c r="H581" s="650"/>
    </row>
    <row r="582" spans="1:8" s="651" customFormat="1" x14ac:dyDescent="0.25">
      <c r="A582" s="984"/>
      <c r="B582" s="985"/>
      <c r="C582" s="986"/>
      <c r="D582" s="986"/>
      <c r="E582" s="987" t="s">
        <v>563</v>
      </c>
      <c r="F582" s="988"/>
      <c r="G582" s="989">
        <f>SUM(G579:G580)</f>
        <v>8140</v>
      </c>
      <c r="H582" s="650"/>
    </row>
    <row r="583" spans="1:8" s="651" customFormat="1" x14ac:dyDescent="0.25">
      <c r="A583" s="984" t="s">
        <v>560</v>
      </c>
      <c r="B583" s="984" t="s">
        <v>752</v>
      </c>
      <c r="C583" s="986"/>
      <c r="D583" s="986"/>
      <c r="E583" s="987"/>
      <c r="F583" s="1001"/>
      <c r="G583" s="989">
        <f>SUM(G577+G582)</f>
        <v>18190</v>
      </c>
      <c r="H583" s="650"/>
    </row>
    <row r="584" spans="1:8" s="651" customFormat="1" x14ac:dyDescent="0.25">
      <c r="A584" s="984" t="s">
        <v>564</v>
      </c>
      <c r="B584" s="984" t="s">
        <v>568</v>
      </c>
      <c r="C584" s="986"/>
      <c r="D584" s="986"/>
      <c r="E584" s="987"/>
      <c r="F584" s="1001"/>
      <c r="G584" s="989">
        <f>G583*0.15</f>
        <v>2728.5</v>
      </c>
      <c r="H584" s="650"/>
    </row>
    <row r="585" spans="1:8" s="651" customFormat="1" x14ac:dyDescent="0.25">
      <c r="A585" s="984" t="s">
        <v>566</v>
      </c>
      <c r="B585" s="984" t="s">
        <v>569</v>
      </c>
      <c r="C585" s="986"/>
      <c r="D585" s="986"/>
      <c r="E585" s="987"/>
      <c r="F585" s="1001"/>
      <c r="G585" s="1002">
        <f>SUM(G583:G584)</f>
        <v>20918.5</v>
      </c>
      <c r="H585" s="650"/>
    </row>
    <row r="586" spans="1:8" s="651" customFormat="1" x14ac:dyDescent="0.25">
      <c r="A586" s="996"/>
      <c r="B586" s="996"/>
      <c r="C586" s="1004"/>
      <c r="D586" s="1004"/>
      <c r="E586" s="1005"/>
      <c r="F586" s="1006"/>
      <c r="G586" s="1007"/>
      <c r="H586" s="650"/>
    </row>
    <row r="587" spans="1:8" x14ac:dyDescent="0.25">
      <c r="A587" s="1469" t="s">
        <v>606</v>
      </c>
      <c r="B587" s="964"/>
      <c r="C587" s="1469" t="s">
        <v>607</v>
      </c>
      <c r="D587" s="965"/>
      <c r="E587" s="966"/>
      <c r="F587" s="967"/>
      <c r="G587" s="967"/>
    </row>
    <row r="588" spans="1:8" x14ac:dyDescent="0.25">
      <c r="A588" s="968" t="s">
        <v>146</v>
      </c>
      <c r="B588" s="968" t="s">
        <v>550</v>
      </c>
      <c r="C588" s="969" t="s">
        <v>551</v>
      </c>
      <c r="D588" s="969" t="s">
        <v>552</v>
      </c>
      <c r="E588" s="970" t="s">
        <v>553</v>
      </c>
      <c r="F588" s="971" t="s">
        <v>554</v>
      </c>
      <c r="G588" s="971" t="s">
        <v>555</v>
      </c>
    </row>
    <row r="589" spans="1:8" ht="19.5" customHeight="1" x14ac:dyDescent="0.25">
      <c r="A589" s="972" t="s">
        <v>556</v>
      </c>
      <c r="B589" s="972" t="s">
        <v>15</v>
      </c>
      <c r="C589" s="973"/>
      <c r="D589" s="973"/>
      <c r="E589" s="974"/>
      <c r="F589" s="975"/>
      <c r="G589" s="975"/>
    </row>
    <row r="590" spans="1:8" ht="25.5" customHeight="1" x14ac:dyDescent="0.25">
      <c r="A590" s="976"/>
      <c r="B590" s="976" t="s">
        <v>17</v>
      </c>
      <c r="C590" s="977" t="s">
        <v>557</v>
      </c>
      <c r="D590" s="977" t="s">
        <v>242</v>
      </c>
      <c r="E590" s="978">
        <v>0.15</v>
      </c>
      <c r="F590" s="979">
        <f>F153</f>
        <v>110000</v>
      </c>
      <c r="G590" s="979">
        <f>E590*F590</f>
        <v>16500</v>
      </c>
    </row>
    <row r="591" spans="1:8" ht="22.5" customHeight="1" x14ac:dyDescent="0.25">
      <c r="A591" s="980"/>
      <c r="B591" s="980" t="s">
        <v>597</v>
      </c>
      <c r="C591" s="981" t="s">
        <v>581</v>
      </c>
      <c r="D591" s="981" t="s">
        <v>242</v>
      </c>
      <c r="E591" s="982">
        <v>0.06</v>
      </c>
      <c r="F591" s="979">
        <f>F154</f>
        <v>153000</v>
      </c>
      <c r="G591" s="979">
        <f>E591*F591</f>
        <v>9180</v>
      </c>
    </row>
    <row r="592" spans="1:8" x14ac:dyDescent="0.25">
      <c r="A592" s="980"/>
      <c r="B592" s="980" t="s">
        <v>18</v>
      </c>
      <c r="C592" s="981" t="s">
        <v>582</v>
      </c>
      <c r="D592" s="981" t="s">
        <v>242</v>
      </c>
      <c r="E592" s="982">
        <v>1.4999999999999999E-2</v>
      </c>
      <c r="F592" s="979">
        <f>F155</f>
        <v>170000</v>
      </c>
      <c r="G592" s="979">
        <f>E592*F592</f>
        <v>2550</v>
      </c>
    </row>
    <row r="593" spans="1:7" x14ac:dyDescent="0.25">
      <c r="A593" s="980"/>
      <c r="B593" s="980" t="s">
        <v>19</v>
      </c>
      <c r="C593" s="981" t="s">
        <v>558</v>
      </c>
      <c r="D593" s="981" t="s">
        <v>242</v>
      </c>
      <c r="E593" s="982">
        <v>1.2999999999999999E-2</v>
      </c>
      <c r="F593" s="979">
        <f>F156</f>
        <v>150000</v>
      </c>
      <c r="G593" s="979">
        <f>E593*F593</f>
        <v>1950</v>
      </c>
    </row>
    <row r="594" spans="1:7" x14ac:dyDescent="0.25">
      <c r="A594" s="984"/>
      <c r="B594" s="985"/>
      <c r="C594" s="986"/>
      <c r="D594" s="986"/>
      <c r="E594" s="987" t="s">
        <v>559</v>
      </c>
      <c r="F594" s="988"/>
      <c r="G594" s="989">
        <f>SUM(G590:G593)</f>
        <v>30180</v>
      </c>
    </row>
    <row r="595" spans="1:7" x14ac:dyDescent="0.25">
      <c r="A595" s="1016" t="s">
        <v>1</v>
      </c>
      <c r="B595" s="1016" t="s">
        <v>5</v>
      </c>
      <c r="C595" s="992"/>
      <c r="D595" s="992"/>
      <c r="E595" s="993"/>
      <c r="F595" s="1017"/>
      <c r="G595" s="1017"/>
    </row>
    <row r="596" spans="1:7" x14ac:dyDescent="0.25">
      <c r="A596" s="1018"/>
      <c r="B596" s="1019" t="s">
        <v>523</v>
      </c>
      <c r="C596" s="973"/>
      <c r="D596" s="973" t="s">
        <v>305</v>
      </c>
      <c r="E596" s="974">
        <v>1.1000000000000001</v>
      </c>
      <c r="F596" s="1020">
        <f>'UPah &amp; Bahan oke'!H51</f>
        <v>25000</v>
      </c>
      <c r="G596" s="975">
        <f>E596*F596</f>
        <v>27500.000000000004</v>
      </c>
    </row>
    <row r="597" spans="1:7" x14ac:dyDescent="0.25">
      <c r="A597" s="1010"/>
      <c r="B597" s="1011" t="s">
        <v>599</v>
      </c>
      <c r="C597" s="1012"/>
      <c r="D597" s="1012" t="s">
        <v>12</v>
      </c>
      <c r="E597" s="1013">
        <v>0.02</v>
      </c>
      <c r="F597" s="1014">
        <f>'UPah &amp; Bahan oke'!H52</f>
        <v>46000</v>
      </c>
      <c r="G597" s="1015">
        <f>E597*F597</f>
        <v>920</v>
      </c>
    </row>
    <row r="598" spans="1:7" x14ac:dyDescent="0.25">
      <c r="A598" s="984"/>
      <c r="B598" s="985"/>
      <c r="C598" s="986"/>
      <c r="D598" s="986"/>
      <c r="E598" s="987" t="s">
        <v>563</v>
      </c>
      <c r="F598" s="988"/>
      <c r="G598" s="989">
        <f>SUM(G596:G597)</f>
        <v>28420.000000000004</v>
      </c>
    </row>
    <row r="599" spans="1:7" x14ac:dyDescent="0.25">
      <c r="A599" s="990" t="s">
        <v>560</v>
      </c>
      <c r="B599" s="990" t="s">
        <v>561</v>
      </c>
      <c r="C599" s="997"/>
      <c r="D599" s="997"/>
      <c r="E599" s="998"/>
      <c r="F599" s="995"/>
      <c r="G599" s="995"/>
    </row>
    <row r="600" spans="1:7" x14ac:dyDescent="0.25">
      <c r="A600" s="984"/>
      <c r="B600" s="985"/>
      <c r="C600" s="986"/>
      <c r="D600" s="986"/>
      <c r="E600" s="987" t="s">
        <v>562</v>
      </c>
      <c r="F600" s="988"/>
      <c r="G600" s="989"/>
    </row>
    <row r="601" spans="1:7" x14ac:dyDescent="0.25">
      <c r="A601" s="984" t="s">
        <v>564</v>
      </c>
      <c r="B601" s="984" t="s">
        <v>565</v>
      </c>
      <c r="C601" s="986"/>
      <c r="D601" s="986"/>
      <c r="E601" s="987"/>
      <c r="F601" s="1001"/>
      <c r="G601" s="989">
        <f>SUM(G594+G598)</f>
        <v>58600</v>
      </c>
    </row>
    <row r="602" spans="1:7" x14ac:dyDescent="0.25">
      <c r="A602" s="984" t="s">
        <v>566</v>
      </c>
      <c r="B602" s="984" t="s">
        <v>568</v>
      </c>
      <c r="C602" s="986"/>
      <c r="D602" s="986"/>
      <c r="E602" s="987"/>
      <c r="F602" s="1001"/>
      <c r="G602" s="989">
        <f>G601*0.15</f>
        <v>8790</v>
      </c>
    </row>
    <row r="603" spans="1:7" x14ac:dyDescent="0.25">
      <c r="A603" s="984" t="s">
        <v>567</v>
      </c>
      <c r="B603" s="984" t="s">
        <v>569</v>
      </c>
      <c r="C603" s="986"/>
      <c r="D603" s="986"/>
      <c r="E603" s="987"/>
      <c r="F603" s="1001"/>
      <c r="G603" s="1002">
        <f>SUM(G601:G602)</f>
        <v>67390</v>
      </c>
    </row>
    <row r="604" spans="1:7" x14ac:dyDescent="0.25">
      <c r="A604" s="964"/>
      <c r="B604" s="964"/>
      <c r="C604" s="965"/>
      <c r="D604" s="965"/>
      <c r="E604" s="966"/>
      <c r="F604" s="967"/>
      <c r="G604" s="967"/>
    </row>
    <row r="605" spans="1:7" x14ac:dyDescent="0.25">
      <c r="A605" s="963" t="s">
        <v>608</v>
      </c>
      <c r="B605" s="964"/>
      <c r="C605" s="963" t="s">
        <v>609</v>
      </c>
      <c r="D605" s="965"/>
      <c r="E605" s="966"/>
      <c r="F605" s="967"/>
      <c r="G605" s="967"/>
    </row>
    <row r="606" spans="1:7" x14ac:dyDescent="0.25">
      <c r="A606" s="968" t="s">
        <v>146</v>
      </c>
      <c r="B606" s="968" t="s">
        <v>550</v>
      </c>
      <c r="C606" s="969" t="s">
        <v>551</v>
      </c>
      <c r="D606" s="969" t="s">
        <v>552</v>
      </c>
      <c r="E606" s="970" t="s">
        <v>553</v>
      </c>
      <c r="F606" s="971" t="s">
        <v>554</v>
      </c>
      <c r="G606" s="971" t="s">
        <v>555</v>
      </c>
    </row>
    <row r="607" spans="1:7" ht="18.75" customHeight="1" x14ac:dyDescent="0.25">
      <c r="A607" s="972" t="s">
        <v>556</v>
      </c>
      <c r="B607" s="972" t="s">
        <v>15</v>
      </c>
      <c r="C607" s="973"/>
      <c r="D607" s="973"/>
      <c r="E607" s="974"/>
      <c r="F607" s="975"/>
      <c r="G607" s="975"/>
    </row>
    <row r="608" spans="1:7" x14ac:dyDescent="0.25">
      <c r="A608" s="976"/>
      <c r="B608" s="976" t="s">
        <v>17</v>
      </c>
      <c r="C608" s="977" t="s">
        <v>557</v>
      </c>
      <c r="D608" s="977" t="s">
        <v>242</v>
      </c>
      <c r="E608" s="978">
        <v>0.25</v>
      </c>
      <c r="F608" s="979">
        <f>F590</f>
        <v>110000</v>
      </c>
      <c r="G608" s="979">
        <f>E608*F608</f>
        <v>27500</v>
      </c>
    </row>
    <row r="609" spans="1:7" x14ac:dyDescent="0.25">
      <c r="A609" s="980"/>
      <c r="B609" s="980" t="s">
        <v>597</v>
      </c>
      <c r="C609" s="981" t="s">
        <v>581</v>
      </c>
      <c r="D609" s="981" t="s">
        <v>242</v>
      </c>
      <c r="E609" s="982">
        <v>0.4</v>
      </c>
      <c r="F609" s="979">
        <f>F591</f>
        <v>153000</v>
      </c>
      <c r="G609" s="979">
        <f>E609*F609</f>
        <v>61200</v>
      </c>
    </row>
    <row r="610" spans="1:7" x14ac:dyDescent="0.25">
      <c r="A610" s="980"/>
      <c r="B610" s="980" t="s">
        <v>18</v>
      </c>
      <c r="C610" s="981" t="s">
        <v>582</v>
      </c>
      <c r="D610" s="981" t="s">
        <v>242</v>
      </c>
      <c r="E610" s="982">
        <v>0.04</v>
      </c>
      <c r="F610" s="979">
        <f>F592</f>
        <v>170000</v>
      </c>
      <c r="G610" s="979">
        <f>E610*F610</f>
        <v>6800</v>
      </c>
    </row>
    <row r="611" spans="1:7" x14ac:dyDescent="0.25">
      <c r="A611" s="980"/>
      <c r="B611" s="980" t="s">
        <v>19</v>
      </c>
      <c r="C611" s="981" t="s">
        <v>558</v>
      </c>
      <c r="D611" s="981" t="s">
        <v>242</v>
      </c>
      <c r="E611" s="982">
        <v>3.5000000000000003E-2</v>
      </c>
      <c r="F611" s="979">
        <f>F593</f>
        <v>150000</v>
      </c>
      <c r="G611" s="979">
        <f>E611*F611</f>
        <v>5250.0000000000009</v>
      </c>
    </row>
    <row r="612" spans="1:7" x14ac:dyDescent="0.25">
      <c r="A612" s="984"/>
      <c r="B612" s="985"/>
      <c r="C612" s="986"/>
      <c r="D612" s="986"/>
      <c r="E612" s="987" t="s">
        <v>559</v>
      </c>
      <c r="F612" s="988"/>
      <c r="G612" s="989">
        <f>SUM(G608:G611)</f>
        <v>100750</v>
      </c>
    </row>
    <row r="613" spans="1:7" x14ac:dyDescent="0.25">
      <c r="A613" s="1016" t="s">
        <v>1</v>
      </c>
      <c r="B613" s="1016" t="s">
        <v>5</v>
      </c>
      <c r="C613" s="992"/>
      <c r="D613" s="992"/>
      <c r="E613" s="993"/>
      <c r="F613" s="1017"/>
      <c r="G613" s="1017"/>
    </row>
    <row r="614" spans="1:7" x14ac:dyDescent="0.25">
      <c r="A614" s="972"/>
      <c r="B614" s="1019" t="s">
        <v>1243</v>
      </c>
      <c r="C614" s="973"/>
      <c r="D614" s="973" t="s">
        <v>305</v>
      </c>
      <c r="E614" s="974">
        <v>3.4</v>
      </c>
      <c r="F614" s="975">
        <f>'UPah &amp; Bahan oke'!H63</f>
        <v>35000</v>
      </c>
      <c r="G614" s="975">
        <f>E614*F614</f>
        <v>119000</v>
      </c>
    </row>
    <row r="615" spans="1:7" x14ac:dyDescent="0.25">
      <c r="A615" s="976"/>
      <c r="B615" s="976" t="s">
        <v>1244</v>
      </c>
      <c r="C615" s="977"/>
      <c r="D615" s="977" t="s">
        <v>305</v>
      </c>
      <c r="E615" s="978">
        <v>1.9</v>
      </c>
      <c r="F615" s="979">
        <f>'UPah &amp; Bahan oke'!H64</f>
        <v>7920.0000000000009</v>
      </c>
      <c r="G615" s="979">
        <f>E615*F615</f>
        <v>15048.000000000002</v>
      </c>
    </row>
    <row r="616" spans="1:7" x14ac:dyDescent="0.25">
      <c r="A616" s="976"/>
      <c r="B616" s="976" t="s">
        <v>512</v>
      </c>
      <c r="C616" s="977"/>
      <c r="D616" s="977" t="s">
        <v>308</v>
      </c>
      <c r="E616" s="978">
        <v>0.5</v>
      </c>
      <c r="F616" s="979">
        <f>'UPah &amp; Bahan oke'!H61</f>
        <v>11000</v>
      </c>
      <c r="G616" s="979">
        <f>E616*F616</f>
        <v>5500</v>
      </c>
    </row>
    <row r="617" spans="1:7" x14ac:dyDescent="0.25">
      <c r="A617" s="1011"/>
      <c r="B617" s="1011" t="s">
        <v>612</v>
      </c>
      <c r="C617" s="1012"/>
      <c r="D617" s="1012" t="s">
        <v>308</v>
      </c>
      <c r="E617" s="1013">
        <v>8</v>
      </c>
      <c r="F617" s="1015">
        <f>'UPah &amp; Bahan oke'!H62</f>
        <v>1000</v>
      </c>
      <c r="G617" s="1015">
        <f>E617*F617</f>
        <v>8000</v>
      </c>
    </row>
    <row r="618" spans="1:7" x14ac:dyDescent="0.25">
      <c r="A618" s="984"/>
      <c r="B618" s="964"/>
      <c r="C618" s="986"/>
      <c r="D618" s="986"/>
      <c r="E618" s="987" t="s">
        <v>563</v>
      </c>
      <c r="F618" s="988"/>
      <c r="G618" s="989">
        <f>SUM(G614:G615)</f>
        <v>134048</v>
      </c>
    </row>
    <row r="619" spans="1:7" x14ac:dyDescent="0.25">
      <c r="A619" s="990" t="s">
        <v>560</v>
      </c>
      <c r="B619" s="1034" t="s">
        <v>561</v>
      </c>
      <c r="C619" s="997"/>
      <c r="D619" s="997"/>
      <c r="E619" s="998"/>
      <c r="F619" s="995"/>
      <c r="G619" s="995"/>
    </row>
    <row r="620" spans="1:7" x14ac:dyDescent="0.25">
      <c r="A620" s="984"/>
      <c r="B620" s="985"/>
      <c r="C620" s="986"/>
      <c r="D620" s="986"/>
      <c r="E620" s="987" t="s">
        <v>562</v>
      </c>
      <c r="F620" s="988"/>
      <c r="G620" s="989"/>
    </row>
    <row r="621" spans="1:7" x14ac:dyDescent="0.25">
      <c r="A621" s="984" t="s">
        <v>564</v>
      </c>
      <c r="B621" s="984" t="s">
        <v>565</v>
      </c>
      <c r="C621" s="986"/>
      <c r="D621" s="986"/>
      <c r="E621" s="987"/>
      <c r="F621" s="1001"/>
      <c r="G621" s="989">
        <f>SUM(G612+G618)</f>
        <v>234798</v>
      </c>
    </row>
    <row r="622" spans="1:7" x14ac:dyDescent="0.25">
      <c r="A622" s="984" t="s">
        <v>566</v>
      </c>
      <c r="B622" s="984" t="s">
        <v>568</v>
      </c>
      <c r="C622" s="986"/>
      <c r="D622" s="986"/>
      <c r="E622" s="987"/>
      <c r="F622" s="1001"/>
      <c r="G622" s="989">
        <f>G621*0.15</f>
        <v>35219.699999999997</v>
      </c>
    </row>
    <row r="623" spans="1:7" x14ac:dyDescent="0.25">
      <c r="A623" s="984" t="s">
        <v>567</v>
      </c>
      <c r="B623" s="984" t="s">
        <v>569</v>
      </c>
      <c r="C623" s="986"/>
      <c r="D623" s="986"/>
      <c r="E623" s="987"/>
      <c r="F623" s="1001"/>
      <c r="G623" s="1002">
        <f>SUM(G621:G622)</f>
        <v>270017.7</v>
      </c>
    </row>
    <row r="624" spans="1:7" x14ac:dyDescent="0.25">
      <c r="A624" s="996"/>
      <c r="B624" s="996"/>
      <c r="C624" s="1004"/>
      <c r="D624" s="1004"/>
      <c r="E624" s="1005"/>
      <c r="F624" s="1006"/>
      <c r="G624" s="1007"/>
    </row>
    <row r="625" spans="1:7" x14ac:dyDescent="0.25">
      <c r="A625" s="964"/>
      <c r="B625" s="964"/>
      <c r="C625" s="965"/>
      <c r="D625" s="965"/>
      <c r="E625" s="966"/>
      <c r="F625" s="967"/>
      <c r="G625" s="967"/>
    </row>
    <row r="626" spans="1:7" x14ac:dyDescent="0.25">
      <c r="A626" s="963" t="s">
        <v>613</v>
      </c>
      <c r="B626" s="964"/>
      <c r="C626" s="963" t="s">
        <v>614</v>
      </c>
      <c r="D626" s="965"/>
      <c r="E626" s="966"/>
      <c r="F626" s="967"/>
      <c r="G626" s="967"/>
    </row>
    <row r="627" spans="1:7" x14ac:dyDescent="0.25">
      <c r="A627" s="968" t="s">
        <v>146</v>
      </c>
      <c r="B627" s="968" t="s">
        <v>550</v>
      </c>
      <c r="C627" s="969" t="s">
        <v>551</v>
      </c>
      <c r="D627" s="969" t="s">
        <v>552</v>
      </c>
      <c r="E627" s="970" t="s">
        <v>553</v>
      </c>
      <c r="F627" s="971" t="s">
        <v>554</v>
      </c>
      <c r="G627" s="971" t="s">
        <v>555</v>
      </c>
    </row>
    <row r="628" spans="1:7" x14ac:dyDescent="0.25">
      <c r="A628" s="972" t="s">
        <v>556</v>
      </c>
      <c r="B628" s="972" t="s">
        <v>15</v>
      </c>
      <c r="C628" s="973"/>
      <c r="D628" s="973"/>
      <c r="E628" s="974"/>
      <c r="F628" s="975"/>
      <c r="G628" s="975"/>
    </row>
    <row r="629" spans="1:7" x14ac:dyDescent="0.25">
      <c r="A629" s="976"/>
      <c r="B629" s="976" t="s">
        <v>17</v>
      </c>
      <c r="C629" s="977" t="s">
        <v>557</v>
      </c>
      <c r="D629" s="977" t="s">
        <v>242</v>
      </c>
      <c r="E629" s="978">
        <v>0.15</v>
      </c>
      <c r="F629" s="979">
        <f>F608</f>
        <v>110000</v>
      </c>
      <c r="G629" s="979">
        <f>E629*F629</f>
        <v>16500</v>
      </c>
    </row>
    <row r="630" spans="1:7" x14ac:dyDescent="0.25">
      <c r="A630" s="980"/>
      <c r="B630" s="980" t="s">
        <v>19</v>
      </c>
      <c r="C630" s="981" t="s">
        <v>558</v>
      </c>
      <c r="D630" s="981" t="s">
        <v>242</v>
      </c>
      <c r="E630" s="982">
        <v>3.0000000000000001E-3</v>
      </c>
      <c r="F630" s="979">
        <f>F611</f>
        <v>150000</v>
      </c>
      <c r="G630" s="979">
        <f>E630*F630</f>
        <v>450</v>
      </c>
    </row>
    <row r="631" spans="1:7" x14ac:dyDescent="0.25">
      <c r="A631" s="984"/>
      <c r="B631" s="985"/>
      <c r="C631" s="986"/>
      <c r="D631" s="986"/>
      <c r="E631" s="987" t="s">
        <v>559</v>
      </c>
      <c r="F631" s="988"/>
      <c r="G631" s="989">
        <f>SUM(G629:G630)</f>
        <v>16950</v>
      </c>
    </row>
    <row r="632" spans="1:7" x14ac:dyDescent="0.25">
      <c r="A632" s="972" t="s">
        <v>1</v>
      </c>
      <c r="B632" s="972" t="s">
        <v>5</v>
      </c>
      <c r="C632" s="973"/>
      <c r="D632" s="973"/>
      <c r="E632" s="974"/>
      <c r="F632" s="975"/>
      <c r="G632" s="975"/>
    </row>
    <row r="633" spans="1:7" x14ac:dyDescent="0.25">
      <c r="A633" s="991"/>
      <c r="B633" s="1033" t="s">
        <v>615</v>
      </c>
      <c r="C633" s="997"/>
      <c r="D633" s="997" t="s">
        <v>12</v>
      </c>
      <c r="E633" s="998">
        <v>0.05</v>
      </c>
      <c r="F633" s="994">
        <f>'UPah &amp; Bahan oke'!H102</f>
        <v>20000</v>
      </c>
      <c r="G633" s="995">
        <f>E633*F633</f>
        <v>1000</v>
      </c>
    </row>
    <row r="634" spans="1:7" x14ac:dyDescent="0.25">
      <c r="A634" s="984"/>
      <c r="B634" s="985"/>
      <c r="C634" s="986"/>
      <c r="D634" s="986"/>
      <c r="E634" s="987" t="s">
        <v>563</v>
      </c>
      <c r="F634" s="988"/>
      <c r="G634" s="989">
        <f>SUM(G633:G633)</f>
        <v>1000</v>
      </c>
    </row>
    <row r="635" spans="1:7" x14ac:dyDescent="0.25">
      <c r="A635" s="990" t="s">
        <v>560</v>
      </c>
      <c r="B635" s="990" t="s">
        <v>561</v>
      </c>
      <c r="C635" s="997"/>
      <c r="D635" s="997"/>
      <c r="E635" s="998"/>
      <c r="F635" s="995"/>
      <c r="G635" s="995"/>
    </row>
    <row r="636" spans="1:7" ht="29.25" customHeight="1" x14ac:dyDescent="0.25">
      <c r="A636" s="984"/>
      <c r="B636" s="985"/>
      <c r="C636" s="986"/>
      <c r="D636" s="986"/>
      <c r="E636" s="987" t="s">
        <v>562</v>
      </c>
      <c r="F636" s="988"/>
      <c r="G636" s="989"/>
    </row>
    <row r="637" spans="1:7" x14ac:dyDescent="0.25">
      <c r="A637" s="984" t="s">
        <v>564</v>
      </c>
      <c r="B637" s="984" t="s">
        <v>565</v>
      </c>
      <c r="C637" s="986"/>
      <c r="D637" s="986"/>
      <c r="E637" s="987"/>
      <c r="F637" s="1001"/>
      <c r="G637" s="989">
        <f>SUM(G631+G634)</f>
        <v>17950</v>
      </c>
    </row>
    <row r="638" spans="1:7" x14ac:dyDescent="0.25">
      <c r="A638" s="984" t="s">
        <v>566</v>
      </c>
      <c r="B638" s="984" t="s">
        <v>568</v>
      </c>
      <c r="C638" s="986"/>
      <c r="D638" s="986"/>
      <c r="E638" s="987"/>
      <c r="F638" s="1001"/>
      <c r="G638" s="989">
        <f>G637*0.15</f>
        <v>2692.5</v>
      </c>
    </row>
    <row r="639" spans="1:7" x14ac:dyDescent="0.25">
      <c r="A639" s="984" t="s">
        <v>567</v>
      </c>
      <c r="B639" s="984" t="s">
        <v>569</v>
      </c>
      <c r="C639" s="986"/>
      <c r="D639" s="986"/>
      <c r="E639" s="987"/>
      <c r="F639" s="1001"/>
      <c r="G639" s="1002">
        <f>SUM(G637:G638)</f>
        <v>20642.5</v>
      </c>
    </row>
    <row r="640" spans="1:7" x14ac:dyDescent="0.25">
      <c r="A640" s="964"/>
      <c r="B640" s="964"/>
      <c r="C640" s="965"/>
      <c r="D640" s="965"/>
      <c r="E640" s="966"/>
      <c r="F640" s="967"/>
      <c r="G640" s="967"/>
    </row>
    <row r="641" spans="1:8" s="651" customFormat="1" x14ac:dyDescent="0.25">
      <c r="A641" s="963" t="s">
        <v>616</v>
      </c>
      <c r="B641" s="964"/>
      <c r="C641" s="963" t="s">
        <v>1245</v>
      </c>
      <c r="D641" s="965"/>
      <c r="E641" s="966"/>
      <c r="F641" s="967"/>
      <c r="G641" s="967"/>
      <c r="H641" s="650"/>
    </row>
    <row r="642" spans="1:8" s="651" customFormat="1" x14ac:dyDescent="0.25">
      <c r="A642" s="968" t="s">
        <v>146</v>
      </c>
      <c r="B642" s="968" t="s">
        <v>550</v>
      </c>
      <c r="C642" s="969" t="s">
        <v>551</v>
      </c>
      <c r="D642" s="969" t="s">
        <v>552</v>
      </c>
      <c r="E642" s="970" t="s">
        <v>553</v>
      </c>
      <c r="F642" s="971" t="s">
        <v>554</v>
      </c>
      <c r="G642" s="971" t="s">
        <v>555</v>
      </c>
      <c r="H642" s="650"/>
    </row>
    <row r="643" spans="1:8" s="651" customFormat="1" x14ac:dyDescent="0.25">
      <c r="A643" s="972" t="s">
        <v>556</v>
      </c>
      <c r="B643" s="972" t="s">
        <v>15</v>
      </c>
      <c r="C643" s="973"/>
      <c r="D643" s="973"/>
      <c r="E643" s="974"/>
      <c r="F643" s="975"/>
      <c r="G643" s="975"/>
      <c r="H643" s="650"/>
    </row>
    <row r="644" spans="1:8" s="651" customFormat="1" x14ac:dyDescent="0.25">
      <c r="A644" s="976"/>
      <c r="B644" s="976" t="s">
        <v>17</v>
      </c>
      <c r="C644" s="977" t="s">
        <v>557</v>
      </c>
      <c r="D644" s="977" t="s">
        <v>242</v>
      </c>
      <c r="E644" s="978">
        <v>0.02</v>
      </c>
      <c r="F644" s="979">
        <f>F608</f>
        <v>110000</v>
      </c>
      <c r="G644" s="979">
        <f>E644*F644</f>
        <v>2200</v>
      </c>
      <c r="H644" s="650"/>
    </row>
    <row r="645" spans="1:8" s="651" customFormat="1" x14ac:dyDescent="0.25">
      <c r="A645" s="980"/>
      <c r="B645" s="980" t="s">
        <v>617</v>
      </c>
      <c r="C645" s="981" t="s">
        <v>581</v>
      </c>
      <c r="D645" s="977" t="s">
        <v>242</v>
      </c>
      <c r="E645" s="982">
        <v>6.3E-2</v>
      </c>
      <c r="F645" s="979">
        <f>F609</f>
        <v>153000</v>
      </c>
      <c r="G645" s="979">
        <f>E645*F645</f>
        <v>9639</v>
      </c>
      <c r="H645" s="650"/>
    </row>
    <row r="646" spans="1:8" s="651" customFormat="1" x14ac:dyDescent="0.25">
      <c r="A646" s="980"/>
      <c r="B646" s="980" t="s">
        <v>93</v>
      </c>
      <c r="C646" s="981" t="s">
        <v>582</v>
      </c>
      <c r="D646" s="977" t="s">
        <v>242</v>
      </c>
      <c r="E646" s="982">
        <v>6.3E-3</v>
      </c>
      <c r="F646" s="979">
        <f>F610</f>
        <v>170000</v>
      </c>
      <c r="G646" s="979">
        <f>E646*F646</f>
        <v>1071</v>
      </c>
      <c r="H646" s="650"/>
    </row>
    <row r="647" spans="1:8" s="651" customFormat="1" x14ac:dyDescent="0.25">
      <c r="A647" s="980"/>
      <c r="B647" s="980" t="s">
        <v>19</v>
      </c>
      <c r="C647" s="981" t="s">
        <v>558</v>
      </c>
      <c r="D647" s="981" t="s">
        <v>242</v>
      </c>
      <c r="E647" s="982">
        <v>3.0000000000000001E-3</v>
      </c>
      <c r="F647" s="979">
        <f>F611</f>
        <v>150000</v>
      </c>
      <c r="G647" s="979">
        <f>E647*F647</f>
        <v>450</v>
      </c>
      <c r="H647" s="650"/>
    </row>
    <row r="648" spans="1:8" s="651" customFormat="1" x14ac:dyDescent="0.25">
      <c r="A648" s="984"/>
      <c r="B648" s="985"/>
      <c r="C648" s="986"/>
      <c r="D648" s="986"/>
      <c r="E648" s="987" t="s">
        <v>559</v>
      </c>
      <c r="F648" s="988"/>
      <c r="G648" s="989">
        <f>SUM(G644:G647)</f>
        <v>13360</v>
      </c>
      <c r="H648" s="650"/>
    </row>
    <row r="649" spans="1:8" s="651" customFormat="1" x14ac:dyDescent="0.25">
      <c r="A649" s="1016" t="s">
        <v>1</v>
      </c>
      <c r="B649" s="1016" t="s">
        <v>5</v>
      </c>
      <c r="C649" s="992"/>
      <c r="D649" s="992"/>
      <c r="E649" s="993"/>
      <c r="F649" s="1017"/>
      <c r="G649" s="975"/>
      <c r="H649" s="650"/>
    </row>
    <row r="650" spans="1:8" s="651" customFormat="1" x14ac:dyDescent="0.25">
      <c r="A650" s="1018"/>
      <c r="B650" s="972" t="s">
        <v>618</v>
      </c>
      <c r="C650" s="973"/>
      <c r="D650" s="973" t="s">
        <v>12</v>
      </c>
      <c r="E650" s="974">
        <v>0.1</v>
      </c>
      <c r="F650" s="1020">
        <f>'UPah &amp; Bahan oke'!H91</f>
        <v>25000</v>
      </c>
      <c r="G650" s="995">
        <f>E650*F650</f>
        <v>2500</v>
      </c>
      <c r="H650" s="650"/>
    </row>
    <row r="651" spans="1:8" s="651" customFormat="1" x14ac:dyDescent="0.25">
      <c r="A651" s="1008"/>
      <c r="B651" s="976" t="s">
        <v>619</v>
      </c>
      <c r="C651" s="977"/>
      <c r="D651" s="977" t="s">
        <v>12</v>
      </c>
      <c r="E651" s="978">
        <v>0.1</v>
      </c>
      <c r="F651" s="1009">
        <f>'UPah &amp; Bahan oke'!H92</f>
        <v>40739</v>
      </c>
      <c r="G651" s="995">
        <f>E651*F651</f>
        <v>4073.9</v>
      </c>
      <c r="H651" s="650"/>
    </row>
    <row r="652" spans="1:8" s="651" customFormat="1" x14ac:dyDescent="0.25">
      <c r="A652" s="1010"/>
      <c r="B652" s="1093" t="s">
        <v>620</v>
      </c>
      <c r="C652" s="1012"/>
      <c r="D652" s="1012" t="s">
        <v>12</v>
      </c>
      <c r="E652" s="1013">
        <v>0.26</v>
      </c>
      <c r="F652" s="1014">
        <f>'UPah &amp; Bahan oke'!H93</f>
        <v>67000</v>
      </c>
      <c r="G652" s="995">
        <f>E652*F652</f>
        <v>17420</v>
      </c>
      <c r="H652" s="650"/>
    </row>
    <row r="653" spans="1:8" s="651" customFormat="1" x14ac:dyDescent="0.25">
      <c r="A653" s="1094"/>
      <c r="B653" s="964"/>
      <c r="C653" s="1031"/>
      <c r="D653" s="1031"/>
      <c r="E653" s="1032" t="s">
        <v>563</v>
      </c>
      <c r="F653" s="1036"/>
      <c r="G653" s="989">
        <f>SUM(G652:G652)</f>
        <v>17420</v>
      </c>
      <c r="H653" s="650"/>
    </row>
    <row r="654" spans="1:8" s="651" customFormat="1" x14ac:dyDescent="0.25">
      <c r="A654" s="990" t="s">
        <v>560</v>
      </c>
      <c r="B654" s="1034" t="s">
        <v>561</v>
      </c>
      <c r="C654" s="997"/>
      <c r="D654" s="997"/>
      <c r="E654" s="998"/>
      <c r="F654" s="995"/>
      <c r="G654" s="995"/>
      <c r="H654" s="650"/>
    </row>
    <row r="655" spans="1:8" s="651" customFormat="1" x14ac:dyDescent="0.25">
      <c r="A655" s="984"/>
      <c r="B655" s="985"/>
      <c r="C655" s="986"/>
      <c r="D655" s="986"/>
      <c r="E655" s="987" t="s">
        <v>562</v>
      </c>
      <c r="F655" s="988"/>
      <c r="G655" s="989"/>
      <c r="H655" s="650"/>
    </row>
    <row r="656" spans="1:8" s="651" customFormat="1" x14ac:dyDescent="0.25">
      <c r="A656" s="984" t="s">
        <v>564</v>
      </c>
      <c r="B656" s="984" t="s">
        <v>565</v>
      </c>
      <c r="C656" s="986"/>
      <c r="D656" s="986"/>
      <c r="E656" s="987"/>
      <c r="F656" s="1001"/>
      <c r="G656" s="989">
        <f>SUM(G648+G653)</f>
        <v>30780</v>
      </c>
      <c r="H656" s="650"/>
    </row>
    <row r="657" spans="1:8" s="651" customFormat="1" x14ac:dyDescent="0.25">
      <c r="A657" s="984" t="s">
        <v>566</v>
      </c>
      <c r="B657" s="984" t="s">
        <v>568</v>
      </c>
      <c r="C657" s="986"/>
      <c r="D657" s="986"/>
      <c r="E657" s="987"/>
      <c r="F657" s="1001"/>
      <c r="G657" s="989">
        <f>G656*0.15</f>
        <v>4617</v>
      </c>
      <c r="H657" s="650"/>
    </row>
    <row r="658" spans="1:8" s="651" customFormat="1" x14ac:dyDescent="0.25">
      <c r="A658" s="984" t="s">
        <v>567</v>
      </c>
      <c r="B658" s="984" t="s">
        <v>569</v>
      </c>
      <c r="C658" s="986"/>
      <c r="D658" s="986"/>
      <c r="E658" s="987"/>
      <c r="F658" s="1001"/>
      <c r="G658" s="1002">
        <f>SUM(G656:G657)</f>
        <v>35397</v>
      </c>
      <c r="H658" s="650"/>
    </row>
    <row r="659" spans="1:8" s="651" customFormat="1" x14ac:dyDescent="0.25">
      <c r="A659" s="996"/>
      <c r="B659" s="996"/>
      <c r="C659" s="1004"/>
      <c r="D659" s="1004"/>
      <c r="E659" s="1005"/>
      <c r="F659" s="1006"/>
      <c r="G659" s="1007"/>
      <c r="H659" s="650"/>
    </row>
    <row r="660" spans="1:8" s="651" customFormat="1" x14ac:dyDescent="0.25">
      <c r="A660" s="963" t="s">
        <v>1256</v>
      </c>
      <c r="B660" s="964"/>
      <c r="C660" s="963"/>
      <c r="D660" s="965"/>
      <c r="E660" s="966"/>
      <c r="F660" s="967"/>
      <c r="G660" s="967"/>
      <c r="H660" s="650"/>
    </row>
    <row r="661" spans="1:8" s="651" customFormat="1" x14ac:dyDescent="0.25">
      <c r="A661" s="968" t="s">
        <v>146</v>
      </c>
      <c r="B661" s="968" t="s">
        <v>550</v>
      </c>
      <c r="C661" s="969" t="s">
        <v>551</v>
      </c>
      <c r="D661" s="969" t="s">
        <v>552</v>
      </c>
      <c r="E661" s="970" t="s">
        <v>553</v>
      </c>
      <c r="F661" s="971" t="s">
        <v>554</v>
      </c>
      <c r="G661" s="971" t="s">
        <v>555</v>
      </c>
      <c r="H661" s="650"/>
    </row>
    <row r="662" spans="1:8" s="651" customFormat="1" x14ac:dyDescent="0.25">
      <c r="A662" s="972" t="s">
        <v>556</v>
      </c>
      <c r="B662" s="972" t="s">
        <v>15</v>
      </c>
      <c r="C662" s="973"/>
      <c r="D662" s="973"/>
      <c r="E662" s="974"/>
      <c r="F662" s="975"/>
      <c r="G662" s="975"/>
      <c r="H662" s="650"/>
    </row>
    <row r="663" spans="1:8" s="651" customFormat="1" x14ac:dyDescent="0.25">
      <c r="A663" s="976"/>
      <c r="B663" s="976" t="s">
        <v>17</v>
      </c>
      <c r="C663" s="977" t="s">
        <v>557</v>
      </c>
      <c r="D663" s="977" t="s">
        <v>242</v>
      </c>
      <c r="E663" s="978">
        <v>7.0000000000000007E-2</v>
      </c>
      <c r="F663" s="979">
        <f>F644</f>
        <v>110000</v>
      </c>
      <c r="G663" s="979">
        <f>E663*F663</f>
        <v>7700.0000000000009</v>
      </c>
      <c r="H663" s="650"/>
    </row>
    <row r="664" spans="1:8" s="651" customFormat="1" x14ac:dyDescent="0.25">
      <c r="A664" s="980"/>
      <c r="B664" s="980" t="s">
        <v>617</v>
      </c>
      <c r="C664" s="981" t="s">
        <v>581</v>
      </c>
      <c r="D664" s="977" t="s">
        <v>242</v>
      </c>
      <c r="E664" s="982">
        <v>8.9999999999999993E-3</v>
      </c>
      <c r="F664" s="979">
        <f t="shared" ref="F664:F666" si="1">F645</f>
        <v>153000</v>
      </c>
      <c r="G664" s="979">
        <f>E664*F664</f>
        <v>1377</v>
      </c>
      <c r="H664" s="650"/>
    </row>
    <row r="665" spans="1:8" s="651" customFormat="1" x14ac:dyDescent="0.25">
      <c r="A665" s="980"/>
      <c r="B665" s="980" t="s">
        <v>93</v>
      </c>
      <c r="C665" s="981" t="s">
        <v>582</v>
      </c>
      <c r="D665" s="977" t="s">
        <v>242</v>
      </c>
      <c r="E665" s="982">
        <v>6.0000000000000001E-3</v>
      </c>
      <c r="F665" s="979">
        <f t="shared" si="1"/>
        <v>170000</v>
      </c>
      <c r="G665" s="979">
        <f>E665*F665</f>
        <v>1020</v>
      </c>
      <c r="H665" s="650"/>
    </row>
    <row r="666" spans="1:8" s="651" customFormat="1" x14ac:dyDescent="0.25">
      <c r="A666" s="980"/>
      <c r="B666" s="980" t="s">
        <v>19</v>
      </c>
      <c r="C666" s="981" t="s">
        <v>558</v>
      </c>
      <c r="D666" s="981" t="s">
        <v>242</v>
      </c>
      <c r="E666" s="982">
        <v>3.0000000000000001E-3</v>
      </c>
      <c r="F666" s="979">
        <f t="shared" si="1"/>
        <v>150000</v>
      </c>
      <c r="G666" s="979">
        <f>E666*F666</f>
        <v>450</v>
      </c>
      <c r="H666" s="650"/>
    </row>
    <row r="667" spans="1:8" s="651" customFormat="1" x14ac:dyDescent="0.25">
      <c r="A667" s="984"/>
      <c r="B667" s="985"/>
      <c r="C667" s="986"/>
      <c r="D667" s="986"/>
      <c r="E667" s="987" t="s">
        <v>559</v>
      </c>
      <c r="F667" s="988"/>
      <c r="G667" s="989">
        <f>SUM(G663:G666)</f>
        <v>10547</v>
      </c>
      <c r="H667" s="650"/>
    </row>
    <row r="668" spans="1:8" s="651" customFormat="1" x14ac:dyDescent="0.25">
      <c r="A668" s="1035" t="s">
        <v>1</v>
      </c>
      <c r="B668" s="1450" t="s">
        <v>5</v>
      </c>
      <c r="C668" s="992"/>
      <c r="D668" s="992"/>
      <c r="E668" s="993"/>
      <c r="F668" s="1017"/>
      <c r="G668" s="975"/>
      <c r="H668" s="650"/>
    </row>
    <row r="669" spans="1:8" s="651" customFormat="1" x14ac:dyDescent="0.25">
      <c r="A669" s="1018"/>
      <c r="B669" s="1447" t="s">
        <v>618</v>
      </c>
      <c r="C669" s="973"/>
      <c r="D669" s="977" t="s">
        <v>12</v>
      </c>
      <c r="E669" s="974">
        <v>0.15</v>
      </c>
      <c r="F669" s="1020">
        <f>F650</f>
        <v>25000</v>
      </c>
      <c r="G669" s="979">
        <f t="shared" ref="G669:G672" si="2">E669*F669</f>
        <v>3750</v>
      </c>
      <c r="H669" s="650"/>
    </row>
    <row r="670" spans="1:8" s="651" customFormat="1" x14ac:dyDescent="0.25">
      <c r="A670" s="1008"/>
      <c r="B670" s="1448" t="s">
        <v>115</v>
      </c>
      <c r="C670" s="977"/>
      <c r="D670" s="977" t="s">
        <v>12</v>
      </c>
      <c r="E670" s="978">
        <v>0.17</v>
      </c>
      <c r="F670" s="1009">
        <f>F651</f>
        <v>40739</v>
      </c>
      <c r="G670" s="979">
        <f t="shared" si="2"/>
        <v>6925.63</v>
      </c>
      <c r="H670" s="650"/>
    </row>
    <row r="671" spans="1:8" s="651" customFormat="1" x14ac:dyDescent="0.25">
      <c r="A671" s="1008"/>
      <c r="B671" s="1448" t="s">
        <v>1257</v>
      </c>
      <c r="C671" s="977"/>
      <c r="D671" s="977" t="s">
        <v>12</v>
      </c>
      <c r="E671" s="978">
        <v>0.26</v>
      </c>
      <c r="F671" s="1009">
        <f>'UPah &amp; Bahan oke'!H96</f>
        <v>79000</v>
      </c>
      <c r="G671" s="979">
        <f t="shared" si="2"/>
        <v>20540</v>
      </c>
      <c r="H671" s="650"/>
    </row>
    <row r="672" spans="1:8" s="651" customFormat="1" x14ac:dyDescent="0.25">
      <c r="A672" s="1008"/>
      <c r="B672" s="1448" t="s">
        <v>1258</v>
      </c>
      <c r="C672" s="977"/>
      <c r="D672" s="977" t="s">
        <v>308</v>
      </c>
      <c r="E672" s="978">
        <v>0.01</v>
      </c>
      <c r="F672" s="1009">
        <f>F650</f>
        <v>25000</v>
      </c>
      <c r="G672" s="979">
        <f t="shared" si="2"/>
        <v>250</v>
      </c>
      <c r="H672" s="650"/>
    </row>
    <row r="673" spans="1:8" s="651" customFormat="1" x14ac:dyDescent="0.25">
      <c r="A673" s="1008"/>
      <c r="B673" s="1448" t="s">
        <v>1259</v>
      </c>
      <c r="C673" s="977"/>
      <c r="D673" s="977" t="s">
        <v>1270</v>
      </c>
      <c r="E673" s="978">
        <v>0.03</v>
      </c>
      <c r="F673" s="1009">
        <f>'UPah &amp; Bahan oke'!H100</f>
        <v>37000</v>
      </c>
      <c r="G673" s="979">
        <f>E673*F673</f>
        <v>1110</v>
      </c>
      <c r="H673" s="650"/>
    </row>
    <row r="674" spans="1:8" s="651" customFormat="1" x14ac:dyDescent="0.25">
      <c r="A674" s="1010"/>
      <c r="B674" s="1449" t="s">
        <v>1260</v>
      </c>
      <c r="C674" s="1012"/>
      <c r="D674" s="1012" t="s">
        <v>1271</v>
      </c>
      <c r="E674" s="1013">
        <v>0.2</v>
      </c>
      <c r="F674" s="1014">
        <f>'UPah &amp; Bahan oke'!H103</f>
        <v>4000</v>
      </c>
      <c r="G674" s="1015">
        <f>E674*F674</f>
        <v>800</v>
      </c>
      <c r="H674" s="650"/>
    </row>
    <row r="675" spans="1:8" s="651" customFormat="1" x14ac:dyDescent="0.25">
      <c r="A675" s="1094"/>
      <c r="B675" s="964"/>
      <c r="C675" s="1031"/>
      <c r="D675" s="1031"/>
      <c r="E675" s="1032" t="s">
        <v>563</v>
      </c>
      <c r="F675" s="1036"/>
      <c r="G675" s="989">
        <f>SUM(G669:G674)</f>
        <v>33375.630000000005</v>
      </c>
      <c r="H675" s="650"/>
    </row>
    <row r="676" spans="1:8" s="651" customFormat="1" x14ac:dyDescent="0.25">
      <c r="A676" s="990" t="s">
        <v>560</v>
      </c>
      <c r="B676" s="1034" t="s">
        <v>561</v>
      </c>
      <c r="C676" s="997"/>
      <c r="D676" s="997"/>
      <c r="E676" s="998"/>
      <c r="F676" s="995"/>
      <c r="G676" s="995"/>
      <c r="H676" s="650"/>
    </row>
    <row r="677" spans="1:8" s="651" customFormat="1" x14ac:dyDescent="0.25">
      <c r="A677" s="984"/>
      <c r="B677" s="985"/>
      <c r="C677" s="986"/>
      <c r="D677" s="986"/>
      <c r="E677" s="987" t="s">
        <v>562</v>
      </c>
      <c r="F677" s="988"/>
      <c r="G677" s="989"/>
      <c r="H677" s="650"/>
    </row>
    <row r="678" spans="1:8" s="651" customFormat="1" x14ac:dyDescent="0.25">
      <c r="A678" s="984" t="s">
        <v>564</v>
      </c>
      <c r="B678" s="984" t="s">
        <v>565</v>
      </c>
      <c r="C678" s="986"/>
      <c r="D678" s="986"/>
      <c r="E678" s="987"/>
      <c r="F678" s="1001"/>
      <c r="G678" s="989">
        <f>SUM(G667+G675)</f>
        <v>43922.630000000005</v>
      </c>
      <c r="H678" s="650"/>
    </row>
    <row r="679" spans="1:8" s="651" customFormat="1" x14ac:dyDescent="0.25">
      <c r="A679" s="984" t="s">
        <v>566</v>
      </c>
      <c r="B679" s="984" t="s">
        <v>568</v>
      </c>
      <c r="C679" s="986"/>
      <c r="D679" s="986"/>
      <c r="E679" s="987"/>
      <c r="F679" s="1001"/>
      <c r="G679" s="989">
        <f>G678*0.15</f>
        <v>6588.3945000000003</v>
      </c>
      <c r="H679" s="650"/>
    </row>
    <row r="680" spans="1:8" s="651" customFormat="1" x14ac:dyDescent="0.25">
      <c r="A680" s="984" t="s">
        <v>567</v>
      </c>
      <c r="B680" s="984" t="s">
        <v>569</v>
      </c>
      <c r="C680" s="986"/>
      <c r="D680" s="986"/>
      <c r="E680" s="987"/>
      <c r="F680" s="1001"/>
      <c r="G680" s="1002">
        <f>SUM(G678:G679)</f>
        <v>50511.024500000007</v>
      </c>
      <c r="H680" s="650"/>
    </row>
    <row r="681" spans="1:8" s="651" customFormat="1" x14ac:dyDescent="0.25">
      <c r="A681" s="996"/>
      <c r="B681" s="996"/>
      <c r="C681" s="1004"/>
      <c r="D681" s="1004"/>
      <c r="E681" s="1005"/>
      <c r="F681" s="1006"/>
      <c r="G681" s="1007"/>
      <c r="H681" s="650"/>
    </row>
    <row r="682" spans="1:8" x14ac:dyDescent="0.25">
      <c r="A682" s="963" t="s">
        <v>651</v>
      </c>
      <c r="B682" s="964"/>
      <c r="C682" s="963" t="s">
        <v>652</v>
      </c>
      <c r="D682" s="965"/>
      <c r="E682" s="966"/>
      <c r="F682" s="967"/>
      <c r="G682" s="967"/>
    </row>
    <row r="683" spans="1:8" x14ac:dyDescent="0.25">
      <c r="A683" s="968" t="s">
        <v>146</v>
      </c>
      <c r="B683" s="968" t="s">
        <v>550</v>
      </c>
      <c r="C683" s="969" t="s">
        <v>551</v>
      </c>
      <c r="D683" s="969" t="s">
        <v>552</v>
      </c>
      <c r="E683" s="970" t="s">
        <v>553</v>
      </c>
      <c r="F683" s="971" t="s">
        <v>554</v>
      </c>
      <c r="G683" s="971" t="s">
        <v>555</v>
      </c>
    </row>
    <row r="684" spans="1:8" x14ac:dyDescent="0.25">
      <c r="A684" s="972" t="s">
        <v>556</v>
      </c>
      <c r="B684" s="972" t="s">
        <v>15</v>
      </c>
      <c r="C684" s="973"/>
      <c r="D684" s="973"/>
      <c r="E684" s="974"/>
      <c r="F684" s="975"/>
      <c r="G684" s="975"/>
    </row>
    <row r="685" spans="1:8" x14ac:dyDescent="0.25">
      <c r="A685" s="976"/>
      <c r="B685" s="976" t="s">
        <v>17</v>
      </c>
      <c r="C685" s="977" t="s">
        <v>557</v>
      </c>
      <c r="D685" s="977" t="s">
        <v>242</v>
      </c>
      <c r="E685" s="978">
        <v>1</v>
      </c>
      <c r="F685" s="979">
        <f>F644</f>
        <v>110000</v>
      </c>
      <c r="G685" s="979">
        <f>E685*F685</f>
        <v>110000</v>
      </c>
    </row>
    <row r="686" spans="1:8" x14ac:dyDescent="0.25">
      <c r="A686" s="980"/>
      <c r="B686" s="980" t="s">
        <v>617</v>
      </c>
      <c r="C686" s="981" t="s">
        <v>581</v>
      </c>
      <c r="D686" s="977" t="s">
        <v>242</v>
      </c>
      <c r="E686" s="982">
        <v>1.5</v>
      </c>
      <c r="F686" s="979">
        <f>F645</f>
        <v>153000</v>
      </c>
      <c r="G686" s="979">
        <f>E686*F686</f>
        <v>229500</v>
      </c>
    </row>
    <row r="687" spans="1:8" x14ac:dyDescent="0.25">
      <c r="A687" s="980"/>
      <c r="B687" s="980" t="s">
        <v>93</v>
      </c>
      <c r="C687" s="981" t="s">
        <v>582</v>
      </c>
      <c r="D687" s="977" t="s">
        <v>242</v>
      </c>
      <c r="E687" s="982">
        <v>0.15</v>
      </c>
      <c r="F687" s="979">
        <f>F646</f>
        <v>170000</v>
      </c>
      <c r="G687" s="979">
        <f>E687*F687</f>
        <v>25500</v>
      </c>
    </row>
    <row r="688" spans="1:8" x14ac:dyDescent="0.25">
      <c r="A688" s="980"/>
      <c r="B688" s="980" t="s">
        <v>19</v>
      </c>
      <c r="C688" s="981" t="s">
        <v>558</v>
      </c>
      <c r="D688" s="981" t="s">
        <v>242</v>
      </c>
      <c r="E688" s="982">
        <v>0.16</v>
      </c>
      <c r="F688" s="979">
        <f>F647</f>
        <v>150000</v>
      </c>
      <c r="G688" s="979">
        <f>E688*F688</f>
        <v>24000</v>
      </c>
    </row>
    <row r="689" spans="1:7" x14ac:dyDescent="0.25">
      <c r="A689" s="984"/>
      <c r="B689" s="985"/>
      <c r="C689" s="986"/>
      <c r="D689" s="986"/>
      <c r="E689" s="987" t="s">
        <v>559</v>
      </c>
      <c r="F689" s="988"/>
      <c r="G689" s="989">
        <f>SUM(G685:G688)</f>
        <v>389000</v>
      </c>
    </row>
    <row r="690" spans="1:7" x14ac:dyDescent="0.25">
      <c r="A690" s="1016" t="s">
        <v>1</v>
      </c>
      <c r="B690" s="1016" t="s">
        <v>5</v>
      </c>
      <c r="C690" s="992"/>
      <c r="D690" s="992"/>
      <c r="E690" s="993"/>
      <c r="F690" s="1017"/>
      <c r="G690" s="975"/>
    </row>
    <row r="691" spans="1:7" x14ac:dyDescent="0.25">
      <c r="A691" s="1018"/>
      <c r="B691" s="972" t="s">
        <v>197</v>
      </c>
      <c r="C691" s="973"/>
      <c r="D691" s="973" t="s">
        <v>484</v>
      </c>
      <c r="E691" s="974">
        <v>1</v>
      </c>
      <c r="F691" s="1020">
        <f>'UPah &amp; Bahan oke'!H68</f>
        <v>450000</v>
      </c>
      <c r="G691" s="979">
        <f>E691*F691</f>
        <v>450000</v>
      </c>
    </row>
    <row r="692" spans="1:7" x14ac:dyDescent="0.25">
      <c r="A692" s="1008"/>
      <c r="B692" s="976" t="s">
        <v>653</v>
      </c>
      <c r="C692" s="977"/>
      <c r="D692" s="977" t="s">
        <v>12</v>
      </c>
      <c r="E692" s="978">
        <v>6</v>
      </c>
      <c r="F692" s="1009">
        <f>'UPah &amp; Bahan oke'!H29</f>
        <v>1687.5</v>
      </c>
      <c r="G692" s="979">
        <f>E692*F692</f>
        <v>10125</v>
      </c>
    </row>
    <row r="693" spans="1:7" x14ac:dyDescent="0.25">
      <c r="A693" s="1010"/>
      <c r="B693" s="1093" t="s">
        <v>60</v>
      </c>
      <c r="C693" s="1012"/>
      <c r="D693" s="1012" t="s">
        <v>7</v>
      </c>
      <c r="E693" s="1013">
        <v>0.01</v>
      </c>
      <c r="F693" s="1014">
        <f>'UPah &amp; Bahan oke'!H18</f>
        <v>185000</v>
      </c>
      <c r="G693" s="1015">
        <f>E693*F693</f>
        <v>1850</v>
      </c>
    </row>
    <row r="694" spans="1:7" x14ac:dyDescent="0.25">
      <c r="A694" s="1094"/>
      <c r="B694" s="964"/>
      <c r="C694" s="1031"/>
      <c r="D694" s="1031"/>
      <c r="E694" s="1032" t="s">
        <v>563</v>
      </c>
      <c r="F694" s="1036"/>
      <c r="G694" s="989">
        <f>SUM(G691:G693)</f>
        <v>461975</v>
      </c>
    </row>
    <row r="695" spans="1:7" x14ac:dyDescent="0.25">
      <c r="A695" s="990" t="s">
        <v>560</v>
      </c>
      <c r="B695" s="1034" t="s">
        <v>561</v>
      </c>
      <c r="C695" s="997"/>
      <c r="D695" s="997"/>
      <c r="E695" s="998"/>
      <c r="F695" s="995"/>
      <c r="G695" s="995"/>
    </row>
    <row r="696" spans="1:7" x14ac:dyDescent="0.25">
      <c r="A696" s="984"/>
      <c r="B696" s="985"/>
      <c r="C696" s="986"/>
      <c r="D696" s="986"/>
      <c r="E696" s="987" t="s">
        <v>562</v>
      </c>
      <c r="F696" s="988"/>
      <c r="G696" s="989"/>
    </row>
    <row r="697" spans="1:7" x14ac:dyDescent="0.25">
      <c r="A697" s="984" t="s">
        <v>564</v>
      </c>
      <c r="B697" s="984" t="s">
        <v>565</v>
      </c>
      <c r="C697" s="986"/>
      <c r="D697" s="986"/>
      <c r="E697" s="987"/>
      <c r="F697" s="1001"/>
      <c r="G697" s="989">
        <f>SUM(G689+G694)</f>
        <v>850975</v>
      </c>
    </row>
    <row r="698" spans="1:7" x14ac:dyDescent="0.25">
      <c r="A698" s="984" t="s">
        <v>566</v>
      </c>
      <c r="B698" s="984" t="s">
        <v>568</v>
      </c>
      <c r="C698" s="986"/>
      <c r="D698" s="986"/>
      <c r="E698" s="987"/>
      <c r="F698" s="1001"/>
      <c r="G698" s="989">
        <f>G697*0.15</f>
        <v>127646.25</v>
      </c>
    </row>
    <row r="699" spans="1:7" x14ac:dyDescent="0.25">
      <c r="A699" s="984" t="s">
        <v>567</v>
      </c>
      <c r="B699" s="984" t="s">
        <v>569</v>
      </c>
      <c r="C699" s="986"/>
      <c r="D699" s="986"/>
      <c r="E699" s="987"/>
      <c r="F699" s="1001"/>
      <c r="G699" s="1002">
        <f>SUM(G697:G698)</f>
        <v>978621.25</v>
      </c>
    </row>
    <row r="700" spans="1:7" x14ac:dyDescent="0.25">
      <c r="A700" s="996"/>
      <c r="B700" s="996"/>
      <c r="C700" s="1004"/>
      <c r="D700" s="1004"/>
      <c r="E700" s="1005"/>
      <c r="F700" s="1006"/>
      <c r="G700" s="1007"/>
    </row>
    <row r="701" spans="1:7" x14ac:dyDescent="0.25">
      <c r="A701" s="963" t="s">
        <v>875</v>
      </c>
      <c r="B701" s="964"/>
      <c r="C701" s="963" t="s">
        <v>1246</v>
      </c>
      <c r="D701" s="965"/>
      <c r="E701" s="966"/>
      <c r="F701" s="967"/>
      <c r="G701" s="967"/>
    </row>
    <row r="702" spans="1:7" x14ac:dyDescent="0.25">
      <c r="A702" s="968" t="s">
        <v>146</v>
      </c>
      <c r="B702" s="968" t="s">
        <v>550</v>
      </c>
      <c r="C702" s="969" t="s">
        <v>551</v>
      </c>
      <c r="D702" s="969" t="s">
        <v>552</v>
      </c>
      <c r="E702" s="970" t="s">
        <v>553</v>
      </c>
      <c r="F702" s="971" t="s">
        <v>554</v>
      </c>
      <c r="G702" s="971" t="s">
        <v>555</v>
      </c>
    </row>
    <row r="703" spans="1:7" x14ac:dyDescent="0.25">
      <c r="A703" s="972" t="s">
        <v>556</v>
      </c>
      <c r="B703" s="972" t="s">
        <v>15</v>
      </c>
      <c r="C703" s="973"/>
      <c r="D703" s="973"/>
      <c r="E703" s="974"/>
      <c r="F703" s="975"/>
      <c r="G703" s="975"/>
    </row>
    <row r="704" spans="1:7" x14ac:dyDescent="0.25">
      <c r="A704" s="976"/>
      <c r="B704" s="976" t="s">
        <v>17</v>
      </c>
      <c r="C704" s="977" t="s">
        <v>557</v>
      </c>
      <c r="D704" s="977" t="s">
        <v>242</v>
      </c>
      <c r="E704" s="1095">
        <v>0.11</v>
      </c>
      <c r="F704" s="979">
        <f>'UPah &amp; Bahan oke'!$H$9</f>
        <v>110000</v>
      </c>
      <c r="G704" s="979">
        <f>E704*F704</f>
        <v>12100</v>
      </c>
    </row>
    <row r="705" spans="1:8" x14ac:dyDescent="0.25">
      <c r="A705" s="976"/>
      <c r="B705" s="976" t="s">
        <v>617</v>
      </c>
      <c r="C705" s="977" t="s">
        <v>581</v>
      </c>
      <c r="D705" s="977" t="s">
        <v>242</v>
      </c>
      <c r="E705" s="1095">
        <v>0.11</v>
      </c>
      <c r="F705" s="979">
        <f>'UPah &amp; Bahan oke'!$H$10</f>
        <v>153000</v>
      </c>
      <c r="G705" s="979">
        <f>E705*F705</f>
        <v>16830</v>
      </c>
    </row>
    <row r="706" spans="1:8" x14ac:dyDescent="0.25">
      <c r="A706" s="976"/>
      <c r="B706" s="976" t="s">
        <v>93</v>
      </c>
      <c r="C706" s="977" t="s">
        <v>582</v>
      </c>
      <c r="D706" s="977" t="s">
        <v>242</v>
      </c>
      <c r="E706" s="1095">
        <v>1.0999999999999999E-2</v>
      </c>
      <c r="F706" s="979">
        <f>'UPah &amp; Bahan oke'!$H$11</f>
        <v>170000</v>
      </c>
      <c r="G706" s="979">
        <f>E706*F706</f>
        <v>1870</v>
      </c>
    </row>
    <row r="707" spans="1:8" x14ac:dyDescent="0.25">
      <c r="A707" s="1011"/>
      <c r="B707" s="1011" t="s">
        <v>19</v>
      </c>
      <c r="C707" s="1012" t="s">
        <v>558</v>
      </c>
      <c r="D707" s="1012" t="s">
        <v>242</v>
      </c>
      <c r="E707" s="1096">
        <v>1.0999999999999999E-2</v>
      </c>
      <c r="F707" s="1015">
        <f>'UPah &amp; Bahan oke'!$H$12</f>
        <v>150000</v>
      </c>
      <c r="G707" s="1015">
        <f>E707*F707</f>
        <v>1650</v>
      </c>
    </row>
    <row r="708" spans="1:8" x14ac:dyDescent="0.25">
      <c r="A708" s="984"/>
      <c r="B708" s="985"/>
      <c r="C708" s="986"/>
      <c r="D708" s="986"/>
      <c r="E708" s="987" t="s">
        <v>559</v>
      </c>
      <c r="F708" s="988"/>
      <c r="G708" s="989">
        <f>SUM(G704:G707)</f>
        <v>32450</v>
      </c>
    </row>
    <row r="709" spans="1:8" x14ac:dyDescent="0.25">
      <c r="A709" s="1016" t="s">
        <v>1</v>
      </c>
      <c r="B709" s="1016" t="s">
        <v>5</v>
      </c>
      <c r="C709" s="992"/>
      <c r="D709" s="992"/>
      <c r="E709" s="993"/>
      <c r="F709" s="1017"/>
      <c r="G709" s="1017"/>
    </row>
    <row r="710" spans="1:8" ht="15.75" x14ac:dyDescent="0.3">
      <c r="A710" s="1018"/>
      <c r="B710" s="1097" t="s">
        <v>1247</v>
      </c>
      <c r="C710" s="973"/>
      <c r="D710" s="1098" t="s">
        <v>308</v>
      </c>
      <c r="E710" s="1041">
        <v>1</v>
      </c>
      <c r="F710" s="1020">
        <f>'UPah &amp; Bahan oke'!H126</f>
        <v>50000</v>
      </c>
      <c r="G710" s="975">
        <f>E710*F710</f>
        <v>50000</v>
      </c>
    </row>
    <row r="711" spans="1:8" s="651" customFormat="1" ht="15.75" x14ac:dyDescent="0.3">
      <c r="A711" s="1008"/>
      <c r="B711" s="1099" t="s">
        <v>1248</v>
      </c>
      <c r="C711" s="977"/>
      <c r="D711" s="1100" t="s">
        <v>305</v>
      </c>
      <c r="E711" s="1042">
        <v>6</v>
      </c>
      <c r="F711" s="1009">
        <f>'UPah &amp; Bahan oke'!H123</f>
        <v>17600</v>
      </c>
      <c r="G711" s="979">
        <f>E711*F711</f>
        <v>105600</v>
      </c>
      <c r="H711" s="650"/>
    </row>
    <row r="712" spans="1:8" s="651" customFormat="1" ht="15.75" x14ac:dyDescent="0.3">
      <c r="A712" s="1008"/>
      <c r="B712" s="1099" t="s">
        <v>865</v>
      </c>
      <c r="C712" s="977"/>
      <c r="D712" s="1100" t="s">
        <v>305</v>
      </c>
      <c r="E712" s="1042">
        <f>E711</f>
        <v>6</v>
      </c>
      <c r="F712" s="1009">
        <f>'UPah &amp; Bahan oke'!H124</f>
        <v>1500</v>
      </c>
      <c r="G712" s="979">
        <f>E712*F712</f>
        <v>9000</v>
      </c>
      <c r="H712" s="650"/>
    </row>
    <row r="713" spans="1:8" s="651" customFormat="1" ht="15.75" x14ac:dyDescent="0.3">
      <c r="A713" s="1010"/>
      <c r="B713" s="1101" t="s">
        <v>1249</v>
      </c>
      <c r="C713" s="1102"/>
      <c r="D713" s="1103" t="s">
        <v>306</v>
      </c>
      <c r="E713" s="1043">
        <v>0.05</v>
      </c>
      <c r="F713" s="1014">
        <f>SUM(G710:G712)</f>
        <v>164600</v>
      </c>
      <c r="G713" s="1015">
        <f>E713*F713</f>
        <v>8230</v>
      </c>
      <c r="H713" s="650"/>
    </row>
    <row r="714" spans="1:8" s="651" customFormat="1" x14ac:dyDescent="0.25">
      <c r="A714" s="1094"/>
      <c r="B714" s="964"/>
      <c r="C714" s="1031"/>
      <c r="D714" s="1031"/>
      <c r="E714" s="1032" t="s">
        <v>563</v>
      </c>
      <c r="F714" s="1036"/>
      <c r="G714" s="989">
        <f>SUM(G710:G713)</f>
        <v>172830</v>
      </c>
      <c r="H714" s="650"/>
    </row>
    <row r="715" spans="1:8" s="651" customFormat="1" x14ac:dyDescent="0.25">
      <c r="A715" s="990" t="s">
        <v>560</v>
      </c>
      <c r="B715" s="1034" t="s">
        <v>561</v>
      </c>
      <c r="C715" s="997"/>
      <c r="D715" s="997"/>
      <c r="E715" s="998"/>
      <c r="F715" s="995"/>
      <c r="G715" s="995"/>
      <c r="H715" s="650"/>
    </row>
    <row r="716" spans="1:8" s="651" customFormat="1" x14ac:dyDescent="0.25">
      <c r="A716" s="984"/>
      <c r="B716" s="985"/>
      <c r="C716" s="986"/>
      <c r="D716" s="986"/>
      <c r="E716" s="987" t="s">
        <v>562</v>
      </c>
      <c r="F716" s="988"/>
      <c r="G716" s="989"/>
      <c r="H716" s="650"/>
    </row>
    <row r="717" spans="1:8" s="651" customFormat="1" x14ac:dyDescent="0.25">
      <c r="A717" s="984" t="s">
        <v>564</v>
      </c>
      <c r="B717" s="984" t="s">
        <v>565</v>
      </c>
      <c r="C717" s="986"/>
      <c r="D717" s="986"/>
      <c r="E717" s="987"/>
      <c r="F717" s="1001"/>
      <c r="G717" s="989">
        <f>SUM(G708+G714)</f>
        <v>205280</v>
      </c>
      <c r="H717" s="650"/>
    </row>
    <row r="718" spans="1:8" s="651" customFormat="1" x14ac:dyDescent="0.25">
      <c r="A718" s="984" t="s">
        <v>566</v>
      </c>
      <c r="B718" s="984" t="s">
        <v>568</v>
      </c>
      <c r="C718" s="986"/>
      <c r="D718" s="986"/>
      <c r="E718" s="987"/>
      <c r="F718" s="1001"/>
      <c r="G718" s="989">
        <f>G717*0.15</f>
        <v>30792</v>
      </c>
      <c r="H718" s="650"/>
    </row>
    <row r="719" spans="1:8" s="651" customFormat="1" x14ac:dyDescent="0.25">
      <c r="A719" s="984" t="s">
        <v>567</v>
      </c>
      <c r="B719" s="984" t="s">
        <v>569</v>
      </c>
      <c r="C719" s="986"/>
      <c r="D719" s="986"/>
      <c r="E719" s="987"/>
      <c r="F719" s="1001"/>
      <c r="G719" s="1002">
        <f>SUM(G717:G718)</f>
        <v>236072</v>
      </c>
      <c r="H719" s="650"/>
    </row>
    <row r="720" spans="1:8" s="651" customFormat="1" hidden="1" x14ac:dyDescent="0.25">
      <c r="A720" s="963" t="s">
        <v>880</v>
      </c>
      <c r="B720" s="964"/>
      <c r="C720" s="963" t="s">
        <v>1250</v>
      </c>
      <c r="D720" s="965"/>
      <c r="E720" s="966"/>
      <c r="F720" s="967"/>
      <c r="G720" s="967"/>
      <c r="H720" s="650"/>
    </row>
    <row r="721" spans="1:8" s="651" customFormat="1" hidden="1" x14ac:dyDescent="0.25">
      <c r="A721" s="968" t="s">
        <v>146</v>
      </c>
      <c r="B721" s="968" t="s">
        <v>550</v>
      </c>
      <c r="C721" s="969" t="s">
        <v>551</v>
      </c>
      <c r="D721" s="969" t="s">
        <v>552</v>
      </c>
      <c r="E721" s="970" t="s">
        <v>553</v>
      </c>
      <c r="F721" s="971" t="s">
        <v>554</v>
      </c>
      <c r="G721" s="971" t="s">
        <v>555</v>
      </c>
      <c r="H721" s="650"/>
    </row>
    <row r="722" spans="1:8" s="651" customFormat="1" hidden="1" x14ac:dyDescent="0.25">
      <c r="A722" s="1016" t="s">
        <v>556</v>
      </c>
      <c r="B722" s="1016" t="s">
        <v>15</v>
      </c>
      <c r="C722" s="992"/>
      <c r="D722" s="992"/>
      <c r="E722" s="993"/>
      <c r="F722" s="1017"/>
      <c r="G722" s="1017"/>
      <c r="H722" s="650"/>
    </row>
    <row r="723" spans="1:8" s="651" customFormat="1" hidden="1" x14ac:dyDescent="0.25">
      <c r="A723" s="972"/>
      <c r="B723" s="972" t="s">
        <v>17</v>
      </c>
      <c r="C723" s="973" t="s">
        <v>557</v>
      </c>
      <c r="D723" s="973" t="s">
        <v>242</v>
      </c>
      <c r="E723" s="1104">
        <v>4.2999999999999997E-2</v>
      </c>
      <c r="F723" s="975">
        <f>'UPah &amp; Bahan oke'!$H$9</f>
        <v>110000</v>
      </c>
      <c r="G723" s="975">
        <f>E723*F723</f>
        <v>4730</v>
      </c>
      <c r="H723" s="650"/>
    </row>
    <row r="724" spans="1:8" s="651" customFormat="1" hidden="1" x14ac:dyDescent="0.25">
      <c r="A724" s="976"/>
      <c r="B724" s="976" t="s">
        <v>887</v>
      </c>
      <c r="C724" s="977" t="s">
        <v>581</v>
      </c>
      <c r="D724" s="977" t="s">
        <v>242</v>
      </c>
      <c r="E724" s="1105">
        <v>4.2999999999999997E-2</v>
      </c>
      <c r="F724" s="979">
        <f>'UPah &amp; Bahan oke'!$H$10</f>
        <v>153000</v>
      </c>
      <c r="G724" s="979">
        <f>E724*F724</f>
        <v>6578.9999999999991</v>
      </c>
      <c r="H724" s="650"/>
    </row>
    <row r="725" spans="1:8" s="651" customFormat="1" hidden="1" x14ac:dyDescent="0.25">
      <c r="A725" s="976"/>
      <c r="B725" s="976" t="s">
        <v>93</v>
      </c>
      <c r="C725" s="977" t="s">
        <v>582</v>
      </c>
      <c r="D725" s="977" t="s">
        <v>242</v>
      </c>
      <c r="E725" s="1105">
        <v>4.2999999999999997E-2</v>
      </c>
      <c r="F725" s="979">
        <f>'UPah &amp; Bahan oke'!$H$11</f>
        <v>170000</v>
      </c>
      <c r="G725" s="979">
        <f>E725*F725</f>
        <v>7309.9999999999991</v>
      </c>
      <c r="H725" s="650"/>
    </row>
    <row r="726" spans="1:8" s="651" customFormat="1" hidden="1" x14ac:dyDescent="0.25">
      <c r="A726" s="1011"/>
      <c r="B726" s="1011" t="s">
        <v>19</v>
      </c>
      <c r="C726" s="1012" t="s">
        <v>558</v>
      </c>
      <c r="D726" s="1012" t="s">
        <v>242</v>
      </c>
      <c r="E726" s="1106">
        <v>2.0999999999999999E-3</v>
      </c>
      <c r="F726" s="1015">
        <f>'UPah &amp; Bahan oke'!$H$12</f>
        <v>150000</v>
      </c>
      <c r="G726" s="1015">
        <f>E726*F726</f>
        <v>315</v>
      </c>
      <c r="H726" s="650"/>
    </row>
    <row r="727" spans="1:8" hidden="1" x14ac:dyDescent="0.25">
      <c r="A727" s="984"/>
      <c r="B727" s="985"/>
      <c r="C727" s="986"/>
      <c r="D727" s="986"/>
      <c r="E727" s="987" t="s">
        <v>559</v>
      </c>
      <c r="F727" s="988"/>
      <c r="G727" s="989">
        <f>SUM(G723:G726)</f>
        <v>18934</v>
      </c>
    </row>
    <row r="728" spans="1:8" hidden="1" x14ac:dyDescent="0.25">
      <c r="A728" s="1016" t="s">
        <v>1</v>
      </c>
      <c r="B728" s="1016" t="s">
        <v>5</v>
      </c>
      <c r="C728" s="992"/>
      <c r="D728" s="992"/>
      <c r="E728" s="993"/>
      <c r="F728" s="1017"/>
      <c r="G728" s="1017"/>
    </row>
    <row r="729" spans="1:8" hidden="1" x14ac:dyDescent="0.25">
      <c r="A729" s="1018"/>
      <c r="B729" s="1107" t="s">
        <v>1251</v>
      </c>
      <c r="C729" s="973"/>
      <c r="D729" s="1108" t="s">
        <v>305</v>
      </c>
      <c r="E729" s="1109">
        <v>1.1000000000000001</v>
      </c>
      <c r="F729" s="975">
        <f>'UPah &amp; Bahan oke'!H63</f>
        <v>35000</v>
      </c>
      <c r="G729" s="975">
        <f>E729*F729</f>
        <v>38500</v>
      </c>
    </row>
    <row r="730" spans="1:8" hidden="1" x14ac:dyDescent="0.25">
      <c r="A730" s="1008"/>
      <c r="B730" s="1110" t="s">
        <v>239</v>
      </c>
      <c r="C730" s="977"/>
      <c r="D730" s="1111" t="s">
        <v>881</v>
      </c>
      <c r="E730" s="1112">
        <v>2</v>
      </c>
      <c r="F730" s="979">
        <f>'UPah &amp; Bahan oke'!H164</f>
        <v>500</v>
      </c>
      <c r="G730" s="979">
        <f>E730*F730</f>
        <v>1000</v>
      </c>
    </row>
    <row r="731" spans="1:8" hidden="1" x14ac:dyDescent="0.25">
      <c r="A731" s="1010"/>
      <c r="B731" s="1113" t="s">
        <v>224</v>
      </c>
      <c r="C731" s="1012"/>
      <c r="D731" s="1114" t="s">
        <v>241</v>
      </c>
      <c r="E731" s="1115">
        <v>0.06</v>
      </c>
      <c r="F731" s="1015">
        <f>'UPah &amp; Bahan oke'!H165</f>
        <v>49000</v>
      </c>
      <c r="G731" s="1015">
        <f>E731*F731</f>
        <v>2940</v>
      </c>
    </row>
    <row r="732" spans="1:8" hidden="1" x14ac:dyDescent="0.25">
      <c r="A732" s="1094"/>
      <c r="B732" s="964"/>
      <c r="C732" s="1031"/>
      <c r="D732" s="1031"/>
      <c r="E732" s="1032" t="s">
        <v>563</v>
      </c>
      <c r="F732" s="1036"/>
      <c r="G732" s="1037">
        <f>SUM(G729:G731)</f>
        <v>42440</v>
      </c>
    </row>
    <row r="733" spans="1:8" hidden="1" x14ac:dyDescent="0.25">
      <c r="A733" s="990" t="s">
        <v>560</v>
      </c>
      <c r="B733" s="1034" t="s">
        <v>561</v>
      </c>
      <c r="C733" s="997"/>
      <c r="D733" s="997"/>
      <c r="E733" s="998"/>
      <c r="F733" s="995"/>
      <c r="G733" s="995"/>
    </row>
    <row r="734" spans="1:8" hidden="1" x14ac:dyDescent="0.25">
      <c r="A734" s="984"/>
      <c r="B734" s="985"/>
      <c r="C734" s="986"/>
      <c r="D734" s="986"/>
      <c r="E734" s="987" t="s">
        <v>562</v>
      </c>
      <c r="F734" s="988"/>
      <c r="G734" s="989"/>
    </row>
    <row r="735" spans="1:8" hidden="1" x14ac:dyDescent="0.25">
      <c r="A735" s="984" t="s">
        <v>564</v>
      </c>
      <c r="B735" s="984" t="s">
        <v>565</v>
      </c>
      <c r="C735" s="986"/>
      <c r="D735" s="986"/>
      <c r="E735" s="987"/>
      <c r="F735" s="1001"/>
      <c r="G735" s="989">
        <f>SUM(G727+G732)</f>
        <v>61374</v>
      </c>
    </row>
    <row r="736" spans="1:8" hidden="1" x14ac:dyDescent="0.25">
      <c r="A736" s="984" t="s">
        <v>566</v>
      </c>
      <c r="B736" s="984" t="s">
        <v>568</v>
      </c>
      <c r="C736" s="986"/>
      <c r="D736" s="986"/>
      <c r="E736" s="987"/>
      <c r="F736" s="1001"/>
      <c r="G736" s="989">
        <f>G735*0.15</f>
        <v>9206.1</v>
      </c>
    </row>
    <row r="737" spans="1:7" hidden="1" x14ac:dyDescent="0.25">
      <c r="A737" s="984" t="s">
        <v>567</v>
      </c>
      <c r="B737" s="984" t="s">
        <v>569</v>
      </c>
      <c r="C737" s="986"/>
      <c r="D737" s="986"/>
      <c r="E737" s="987"/>
      <c r="F737" s="1001"/>
      <c r="G737" s="1002">
        <f>SUM(G735:G736)</f>
        <v>70580.100000000006</v>
      </c>
    </row>
    <row r="738" spans="1:7" x14ac:dyDescent="0.25">
      <c r="A738" s="996"/>
      <c r="B738" s="996"/>
      <c r="C738" s="1004"/>
      <c r="D738" s="1004"/>
      <c r="E738" s="1005"/>
      <c r="F738" s="1006"/>
      <c r="G738" s="1007"/>
    </row>
    <row r="739" spans="1:7" x14ac:dyDescent="0.25">
      <c r="A739" s="1469" t="s">
        <v>654</v>
      </c>
      <c r="B739" s="964"/>
      <c r="C739" s="1469" t="s">
        <v>655</v>
      </c>
      <c r="D739" s="965"/>
      <c r="E739" s="966"/>
      <c r="F739" s="967"/>
      <c r="G739" s="967"/>
    </row>
    <row r="740" spans="1:7" x14ac:dyDescent="0.25">
      <c r="A740" s="968" t="s">
        <v>146</v>
      </c>
      <c r="B740" s="968" t="s">
        <v>550</v>
      </c>
      <c r="C740" s="969" t="s">
        <v>551</v>
      </c>
      <c r="D740" s="969" t="s">
        <v>552</v>
      </c>
      <c r="E740" s="970" t="s">
        <v>553</v>
      </c>
      <c r="F740" s="971" t="s">
        <v>554</v>
      </c>
      <c r="G740" s="971" t="s">
        <v>555</v>
      </c>
    </row>
    <row r="741" spans="1:7" x14ac:dyDescent="0.25">
      <c r="A741" s="972" t="s">
        <v>556</v>
      </c>
      <c r="B741" s="972" t="s">
        <v>15</v>
      </c>
      <c r="C741" s="973"/>
      <c r="D741" s="973"/>
      <c r="E741" s="974"/>
      <c r="F741" s="975"/>
      <c r="G741" s="975"/>
    </row>
    <row r="742" spans="1:7" x14ac:dyDescent="0.25">
      <c r="A742" s="976"/>
      <c r="B742" s="976" t="s">
        <v>17</v>
      </c>
      <c r="C742" s="977" t="s">
        <v>557</v>
      </c>
      <c r="D742" s="977" t="s">
        <v>242</v>
      </c>
      <c r="E742" s="978">
        <v>0.01</v>
      </c>
      <c r="F742" s="979">
        <f>$F$685</f>
        <v>110000</v>
      </c>
      <c r="G742" s="979">
        <f>E742*F742</f>
        <v>1100</v>
      </c>
    </row>
    <row r="743" spans="1:7" x14ac:dyDescent="0.25">
      <c r="A743" s="980"/>
      <c r="B743" s="980" t="s">
        <v>849</v>
      </c>
      <c r="C743" s="981" t="s">
        <v>581</v>
      </c>
      <c r="D743" s="977" t="s">
        <v>242</v>
      </c>
      <c r="E743" s="982">
        <v>0.1</v>
      </c>
      <c r="F743" s="979">
        <f>$F$686</f>
        <v>153000</v>
      </c>
      <c r="G743" s="979">
        <f>E743*F743</f>
        <v>15300</v>
      </c>
    </row>
    <row r="744" spans="1:7" x14ac:dyDescent="0.25">
      <c r="A744" s="980"/>
      <c r="B744" s="980" t="s">
        <v>93</v>
      </c>
      <c r="C744" s="981" t="s">
        <v>582</v>
      </c>
      <c r="D744" s="977" t="s">
        <v>242</v>
      </c>
      <c r="E744" s="982">
        <v>0.01</v>
      </c>
      <c r="F744" s="979">
        <f>$F$687</f>
        <v>170000</v>
      </c>
      <c r="G744" s="979">
        <f>E744*F744</f>
        <v>1700</v>
      </c>
    </row>
    <row r="745" spans="1:7" x14ac:dyDescent="0.25">
      <c r="A745" s="980"/>
      <c r="B745" s="980" t="s">
        <v>19</v>
      </c>
      <c r="C745" s="981" t="s">
        <v>558</v>
      </c>
      <c r="D745" s="981" t="s">
        <v>242</v>
      </c>
      <c r="E745" s="982">
        <v>5.0000000000000001E-3</v>
      </c>
      <c r="F745" s="979">
        <f>$F$688</f>
        <v>150000</v>
      </c>
      <c r="G745" s="979">
        <f>E745*F745</f>
        <v>750</v>
      </c>
    </row>
    <row r="746" spans="1:7" x14ac:dyDescent="0.25">
      <c r="A746" s="984"/>
      <c r="B746" s="985"/>
      <c r="C746" s="986"/>
      <c r="D746" s="986"/>
      <c r="E746" s="987" t="s">
        <v>559</v>
      </c>
      <c r="F746" s="988"/>
      <c r="G746" s="989">
        <f>SUM(G742:G745)</f>
        <v>18850</v>
      </c>
    </row>
    <row r="747" spans="1:7" x14ac:dyDescent="0.25">
      <c r="A747" s="1016" t="s">
        <v>1</v>
      </c>
      <c r="B747" s="1016" t="s">
        <v>5</v>
      </c>
      <c r="C747" s="992"/>
      <c r="D747" s="992"/>
      <c r="E747" s="993"/>
      <c r="F747" s="1017"/>
      <c r="G747" s="975"/>
    </row>
    <row r="748" spans="1:7" x14ac:dyDescent="0.25">
      <c r="A748" s="1035"/>
      <c r="B748" s="1016" t="s">
        <v>198</v>
      </c>
      <c r="C748" s="992"/>
      <c r="D748" s="992" t="s">
        <v>484</v>
      </c>
      <c r="E748" s="993">
        <v>1</v>
      </c>
      <c r="F748" s="1039">
        <f>'UPah &amp; Bahan oke'!H70</f>
        <v>60000</v>
      </c>
      <c r="G748" s="995">
        <f>E748*F748</f>
        <v>60000</v>
      </c>
    </row>
    <row r="749" spans="1:7" x14ac:dyDescent="0.25">
      <c r="A749" s="984"/>
      <c r="B749" s="985"/>
      <c r="C749" s="986"/>
      <c r="D749" s="986"/>
      <c r="E749" s="987" t="s">
        <v>563</v>
      </c>
      <c r="F749" s="988"/>
      <c r="G749" s="989">
        <f>G748</f>
        <v>60000</v>
      </c>
    </row>
    <row r="750" spans="1:7" x14ac:dyDescent="0.25">
      <c r="A750" s="990" t="s">
        <v>560</v>
      </c>
      <c r="B750" s="1034" t="s">
        <v>561</v>
      </c>
      <c r="C750" s="997"/>
      <c r="D750" s="997"/>
      <c r="E750" s="998"/>
      <c r="F750" s="995"/>
      <c r="G750" s="995"/>
    </row>
    <row r="751" spans="1:7" x14ac:dyDescent="0.25">
      <c r="A751" s="984"/>
      <c r="B751" s="985"/>
      <c r="C751" s="986"/>
      <c r="D751" s="986"/>
      <c r="E751" s="987" t="s">
        <v>562</v>
      </c>
      <c r="F751" s="988"/>
      <c r="G751" s="989"/>
    </row>
    <row r="752" spans="1:7" x14ac:dyDescent="0.25">
      <c r="A752" s="984" t="s">
        <v>564</v>
      </c>
      <c r="B752" s="984" t="s">
        <v>565</v>
      </c>
      <c r="C752" s="986"/>
      <c r="D752" s="986"/>
      <c r="E752" s="987"/>
      <c r="F752" s="1001"/>
      <c r="G752" s="989">
        <f>SUM(G746+G749)</f>
        <v>78850</v>
      </c>
    </row>
    <row r="753" spans="1:8" x14ac:dyDescent="0.25">
      <c r="A753" s="984" t="s">
        <v>566</v>
      </c>
      <c r="B753" s="984" t="s">
        <v>568</v>
      </c>
      <c r="C753" s="986"/>
      <c r="D753" s="986"/>
      <c r="E753" s="987"/>
      <c r="F753" s="1001"/>
      <c r="G753" s="989">
        <f>G752*0.15</f>
        <v>11827.5</v>
      </c>
    </row>
    <row r="754" spans="1:8" x14ac:dyDescent="0.25">
      <c r="A754" s="984" t="s">
        <v>567</v>
      </c>
      <c r="B754" s="984" t="s">
        <v>569</v>
      </c>
      <c r="C754" s="986"/>
      <c r="D754" s="986"/>
      <c r="E754" s="987"/>
      <c r="F754" s="1001"/>
      <c r="G754" s="1002">
        <f>SUM(G752:G753)</f>
        <v>90677.5</v>
      </c>
    </row>
    <row r="755" spans="1:8" x14ac:dyDescent="0.25">
      <c r="A755" s="996"/>
      <c r="B755" s="996"/>
      <c r="C755" s="1004"/>
      <c r="D755" s="1004"/>
      <c r="E755" s="1005"/>
      <c r="F755" s="1006"/>
      <c r="G755" s="1007"/>
    </row>
    <row r="756" spans="1:8" s="759" customFormat="1" x14ac:dyDescent="0.25">
      <c r="A756" s="1469" t="s">
        <v>884</v>
      </c>
      <c r="B756" s="964"/>
      <c r="C756" s="1469" t="s">
        <v>885</v>
      </c>
      <c r="D756" s="965"/>
      <c r="E756" s="966"/>
      <c r="F756" s="967"/>
      <c r="G756" s="967"/>
      <c r="H756" s="627"/>
    </row>
    <row r="757" spans="1:8" s="759" customFormat="1" x14ac:dyDescent="0.25">
      <c r="A757" s="968" t="s">
        <v>146</v>
      </c>
      <c r="B757" s="968" t="s">
        <v>550</v>
      </c>
      <c r="C757" s="969" t="s">
        <v>551</v>
      </c>
      <c r="D757" s="969" t="s">
        <v>552</v>
      </c>
      <c r="E757" s="970" t="s">
        <v>553</v>
      </c>
      <c r="F757" s="971" t="s">
        <v>554</v>
      </c>
      <c r="G757" s="971" t="s">
        <v>555</v>
      </c>
      <c r="H757" s="627"/>
    </row>
    <row r="758" spans="1:8" s="759" customFormat="1" x14ac:dyDescent="0.25">
      <c r="A758" s="972" t="s">
        <v>556</v>
      </c>
      <c r="B758" s="972" t="s">
        <v>15</v>
      </c>
      <c r="C758" s="973"/>
      <c r="D758" s="973"/>
      <c r="E758" s="974"/>
      <c r="F758" s="975"/>
      <c r="G758" s="975"/>
      <c r="H758" s="627"/>
    </row>
    <row r="759" spans="1:8" s="759" customFormat="1" x14ac:dyDescent="0.25">
      <c r="A759" s="976"/>
      <c r="B759" s="976" t="s">
        <v>17</v>
      </c>
      <c r="C759" s="977" t="s">
        <v>557</v>
      </c>
      <c r="D759" s="977" t="s">
        <v>242</v>
      </c>
      <c r="E759" s="978">
        <v>0.315</v>
      </c>
      <c r="F759" s="979">
        <f>$F$685</f>
        <v>110000</v>
      </c>
      <c r="G759" s="979">
        <f>E759*F759</f>
        <v>34650</v>
      </c>
      <c r="H759" s="627"/>
    </row>
    <row r="760" spans="1:8" s="759" customFormat="1" x14ac:dyDescent="0.25">
      <c r="A760" s="980"/>
      <c r="B760" s="980" t="s">
        <v>849</v>
      </c>
      <c r="C760" s="981" t="s">
        <v>581</v>
      </c>
      <c r="D760" s="977" t="s">
        <v>242</v>
      </c>
      <c r="E760" s="982">
        <v>0.11249999999999999</v>
      </c>
      <c r="F760" s="979">
        <f>$F$686</f>
        <v>153000</v>
      </c>
      <c r="G760" s="979">
        <f>E760*F760</f>
        <v>17212.5</v>
      </c>
      <c r="H760" s="627"/>
    </row>
    <row r="761" spans="1:8" s="759" customFormat="1" x14ac:dyDescent="0.25">
      <c r="A761" s="980"/>
      <c r="B761" s="980" t="s">
        <v>93</v>
      </c>
      <c r="C761" s="981" t="s">
        <v>582</v>
      </c>
      <c r="D761" s="977" t="s">
        <v>242</v>
      </c>
      <c r="E761" s="982">
        <v>1.0500000000000001E-2</v>
      </c>
      <c r="F761" s="979">
        <f>$F$687</f>
        <v>170000</v>
      </c>
      <c r="G761" s="979">
        <f>E761*F761</f>
        <v>1785</v>
      </c>
      <c r="H761" s="627"/>
    </row>
    <row r="762" spans="1:8" s="759" customFormat="1" x14ac:dyDescent="0.25">
      <c r="A762" s="980"/>
      <c r="B762" s="980" t="s">
        <v>19</v>
      </c>
      <c r="C762" s="981" t="s">
        <v>558</v>
      </c>
      <c r="D762" s="981" t="s">
        <v>242</v>
      </c>
      <c r="E762" s="982">
        <v>1.6500000000000001E-2</v>
      </c>
      <c r="F762" s="979">
        <f>$F$688</f>
        <v>150000</v>
      </c>
      <c r="G762" s="979">
        <f>E762*F762</f>
        <v>2475</v>
      </c>
      <c r="H762" s="627"/>
    </row>
    <row r="763" spans="1:8" s="759" customFormat="1" x14ac:dyDescent="0.25">
      <c r="A763" s="984"/>
      <c r="B763" s="985"/>
      <c r="C763" s="986"/>
      <c r="D763" s="986"/>
      <c r="E763" s="987" t="s">
        <v>559</v>
      </c>
      <c r="F763" s="988"/>
      <c r="G763" s="989">
        <f>SUM(G759:G762)</f>
        <v>56122.5</v>
      </c>
      <c r="H763" s="627"/>
    </row>
    <row r="764" spans="1:8" s="759" customFormat="1" x14ac:dyDescent="0.25">
      <c r="A764" s="1016" t="s">
        <v>1</v>
      </c>
      <c r="B764" s="1016" t="s">
        <v>5</v>
      </c>
      <c r="C764" s="992"/>
      <c r="D764" s="992"/>
      <c r="E764" s="993"/>
      <c r="F764" s="1017"/>
      <c r="G764" s="975"/>
      <c r="H764" s="627"/>
    </row>
    <row r="765" spans="1:8" s="759" customFormat="1" x14ac:dyDescent="0.25">
      <c r="A765" s="1035"/>
      <c r="B765" s="1016" t="s">
        <v>886</v>
      </c>
      <c r="C765" s="992"/>
      <c r="D765" s="992" t="s">
        <v>484</v>
      </c>
      <c r="E765" s="993">
        <v>1</v>
      </c>
      <c r="F765" s="1039">
        <f>'UPah &amp; Bahan oke'!H69</f>
        <v>245000</v>
      </c>
      <c r="G765" s="995">
        <f>E765*F765</f>
        <v>245000</v>
      </c>
      <c r="H765" s="627"/>
    </row>
    <row r="766" spans="1:8" s="759" customFormat="1" x14ac:dyDescent="0.25">
      <c r="A766" s="984"/>
      <c r="B766" s="985"/>
      <c r="C766" s="986"/>
      <c r="D766" s="986"/>
      <c r="E766" s="987" t="s">
        <v>563</v>
      </c>
      <c r="F766" s="988"/>
      <c r="G766" s="989">
        <f>G765</f>
        <v>245000</v>
      </c>
      <c r="H766" s="627"/>
    </row>
    <row r="767" spans="1:8" s="759" customFormat="1" x14ac:dyDescent="0.25">
      <c r="A767" s="990" t="s">
        <v>560</v>
      </c>
      <c r="B767" s="1034" t="s">
        <v>561</v>
      </c>
      <c r="C767" s="997"/>
      <c r="D767" s="997"/>
      <c r="E767" s="998"/>
      <c r="F767" s="995"/>
      <c r="G767" s="995"/>
      <c r="H767" s="627"/>
    </row>
    <row r="768" spans="1:8" s="759" customFormat="1" x14ac:dyDescent="0.25">
      <c r="A768" s="984"/>
      <c r="B768" s="985"/>
      <c r="C768" s="986"/>
      <c r="D768" s="986"/>
      <c r="E768" s="987" t="s">
        <v>562</v>
      </c>
      <c r="F768" s="988"/>
      <c r="G768" s="989"/>
      <c r="H768" s="627"/>
    </row>
    <row r="769" spans="1:8" s="759" customFormat="1" x14ac:dyDescent="0.25">
      <c r="A769" s="984" t="s">
        <v>564</v>
      </c>
      <c r="B769" s="984" t="s">
        <v>565</v>
      </c>
      <c r="C769" s="986"/>
      <c r="D769" s="986"/>
      <c r="E769" s="987"/>
      <c r="F769" s="1001"/>
      <c r="G769" s="989">
        <f>SUM(G763+G766)</f>
        <v>301122.5</v>
      </c>
      <c r="H769" s="627"/>
    </row>
    <row r="770" spans="1:8" s="759" customFormat="1" x14ac:dyDescent="0.25">
      <c r="A770" s="984" t="s">
        <v>566</v>
      </c>
      <c r="B770" s="984" t="s">
        <v>568</v>
      </c>
      <c r="C770" s="986"/>
      <c r="D770" s="986"/>
      <c r="E770" s="987"/>
      <c r="F770" s="1001"/>
      <c r="G770" s="989">
        <f>G769*0.15</f>
        <v>45168.375</v>
      </c>
      <c r="H770" s="627"/>
    </row>
    <row r="771" spans="1:8" s="759" customFormat="1" x14ac:dyDescent="0.25">
      <c r="A771" s="984" t="s">
        <v>567</v>
      </c>
      <c r="B771" s="984" t="s">
        <v>569</v>
      </c>
      <c r="C771" s="986"/>
      <c r="D771" s="986"/>
      <c r="E771" s="987"/>
      <c r="F771" s="1001"/>
      <c r="G771" s="1002">
        <f>SUM(G769:G770)</f>
        <v>346290.875</v>
      </c>
      <c r="H771" s="627"/>
    </row>
    <row r="772" spans="1:8" s="759" customFormat="1" x14ac:dyDescent="0.25">
      <c r="A772" s="996"/>
      <c r="B772" s="996"/>
      <c r="C772" s="1004"/>
      <c r="D772" s="1004"/>
      <c r="E772" s="1005"/>
      <c r="F772" s="1006"/>
      <c r="G772" s="1007"/>
      <c r="H772" s="627"/>
    </row>
    <row r="773" spans="1:8" s="759" customFormat="1" x14ac:dyDescent="0.25">
      <c r="A773" t="s">
        <v>1207</v>
      </c>
      <c r="B773" s="964"/>
      <c r="C773" s="963"/>
      <c r="D773" s="965"/>
      <c r="E773" s="966"/>
      <c r="F773" s="967"/>
      <c r="G773" s="967"/>
      <c r="H773" s="627"/>
    </row>
    <row r="774" spans="1:8" s="759" customFormat="1" x14ac:dyDescent="0.25">
      <c r="A774" s="968" t="s">
        <v>146</v>
      </c>
      <c r="B774" s="968" t="s">
        <v>550</v>
      </c>
      <c r="C774" s="969" t="s">
        <v>551</v>
      </c>
      <c r="D774" s="969" t="s">
        <v>552</v>
      </c>
      <c r="E774" s="970" t="s">
        <v>553</v>
      </c>
      <c r="F774" s="971" t="s">
        <v>554</v>
      </c>
      <c r="G774" s="971" t="s">
        <v>555</v>
      </c>
      <c r="H774" s="627"/>
    </row>
    <row r="775" spans="1:8" s="759" customFormat="1" x14ac:dyDescent="0.25">
      <c r="A775" s="972" t="s">
        <v>556</v>
      </c>
      <c r="B775" s="972" t="s">
        <v>15</v>
      </c>
      <c r="C775" s="973"/>
      <c r="D775" s="973"/>
      <c r="E775" s="974"/>
      <c r="F775" s="975"/>
      <c r="G775" s="975"/>
      <c r="H775" s="627"/>
    </row>
    <row r="776" spans="1:8" s="759" customFormat="1" x14ac:dyDescent="0.25">
      <c r="A776" s="976"/>
      <c r="B776" s="976" t="s">
        <v>17</v>
      </c>
      <c r="C776" s="977" t="s">
        <v>557</v>
      </c>
      <c r="D776" s="977" t="s">
        <v>242</v>
      </c>
      <c r="E776" s="1428">
        <v>0.03</v>
      </c>
      <c r="F776" s="979">
        <f>$F$685</f>
        <v>110000</v>
      </c>
      <c r="G776" s="979">
        <f>E776*F776</f>
        <v>3300</v>
      </c>
      <c r="H776" s="627"/>
    </row>
    <row r="777" spans="1:8" s="759" customFormat="1" x14ac:dyDescent="0.25">
      <c r="A777" s="980"/>
      <c r="B777" s="980" t="s">
        <v>849</v>
      </c>
      <c r="C777" s="981" t="s">
        <v>581</v>
      </c>
      <c r="D777" s="977" t="s">
        <v>242</v>
      </c>
      <c r="E777" s="1429">
        <v>0.3</v>
      </c>
      <c r="F777" s="979">
        <f>$F$686</f>
        <v>153000</v>
      </c>
      <c r="G777" s="979">
        <f t="shared" ref="G777:G779" si="3">E777*F777</f>
        <v>45900</v>
      </c>
      <c r="H777" s="627"/>
    </row>
    <row r="778" spans="1:8" s="759" customFormat="1" x14ac:dyDescent="0.25">
      <c r="A778" s="980"/>
      <c r="B778" s="980" t="s">
        <v>93</v>
      </c>
      <c r="C778" s="981" t="s">
        <v>582</v>
      </c>
      <c r="D778" s="977" t="s">
        <v>242</v>
      </c>
      <c r="E778" s="1429">
        <v>0.03</v>
      </c>
      <c r="F778" s="979">
        <f>$F$687</f>
        <v>170000</v>
      </c>
      <c r="G778" s="979">
        <f t="shared" si="3"/>
        <v>5100</v>
      </c>
      <c r="H778" s="627"/>
    </row>
    <row r="779" spans="1:8" s="759" customFormat="1" x14ac:dyDescent="0.25">
      <c r="A779" s="980"/>
      <c r="B779" s="980" t="s">
        <v>19</v>
      </c>
      <c r="C779" s="981" t="s">
        <v>558</v>
      </c>
      <c r="D779" s="981" t="s">
        <v>242</v>
      </c>
      <c r="E779" s="1429">
        <v>1.4999999999999999E-2</v>
      </c>
      <c r="F779" s="979">
        <f>$F$688</f>
        <v>150000</v>
      </c>
      <c r="G779" s="979">
        <f t="shared" si="3"/>
        <v>2250</v>
      </c>
      <c r="H779" s="627"/>
    </row>
    <row r="780" spans="1:8" s="759" customFormat="1" x14ac:dyDescent="0.25">
      <c r="A780" s="984"/>
      <c r="B780" s="985"/>
      <c r="C780" s="986"/>
      <c r="D780" s="986"/>
      <c r="E780" s="987" t="s">
        <v>559</v>
      </c>
      <c r="F780" s="988"/>
      <c r="G780" s="989">
        <f>SUM(G776:G779)</f>
        <v>56550</v>
      </c>
      <c r="H780" s="627"/>
    </row>
    <row r="781" spans="1:8" s="759" customFormat="1" x14ac:dyDescent="0.25">
      <c r="A781" s="1016" t="s">
        <v>1</v>
      </c>
      <c r="B781" s="1016" t="s">
        <v>5</v>
      </c>
      <c r="C781" s="992"/>
      <c r="D781" s="992"/>
      <c r="E781" s="993"/>
      <c r="F781" s="1017"/>
      <c r="G781" s="975"/>
      <c r="H781" s="627"/>
    </row>
    <row r="782" spans="1:8" s="759" customFormat="1" x14ac:dyDescent="0.25">
      <c r="A782" s="1035"/>
      <c r="B782" s="1016" t="s">
        <v>1208</v>
      </c>
      <c r="C782" s="992"/>
      <c r="D782" s="992" t="s">
        <v>1210</v>
      </c>
      <c r="E782" s="993">
        <v>1</v>
      </c>
      <c r="F782" s="1039">
        <v>850000</v>
      </c>
      <c r="G782" s="995">
        <f t="shared" ref="G782:G783" si="4">E782*F782</f>
        <v>850000</v>
      </c>
      <c r="H782" s="627"/>
    </row>
    <row r="783" spans="1:8" s="759" customFormat="1" x14ac:dyDescent="0.25">
      <c r="A783" s="1035"/>
      <c r="B783" s="1016" t="s">
        <v>1209</v>
      </c>
      <c r="C783" s="992"/>
      <c r="D783" s="992" t="s">
        <v>1211</v>
      </c>
      <c r="E783" s="993">
        <v>1</v>
      </c>
      <c r="F783" s="1039">
        <v>85000</v>
      </c>
      <c r="G783" s="995">
        <f t="shared" si="4"/>
        <v>85000</v>
      </c>
      <c r="H783" s="627"/>
    </row>
    <row r="784" spans="1:8" s="759" customFormat="1" x14ac:dyDescent="0.25">
      <c r="A784" s="1035"/>
      <c r="B784" s="1016"/>
      <c r="C784" s="992"/>
      <c r="D784" s="992"/>
      <c r="E784" s="993"/>
      <c r="F784" s="1039"/>
      <c r="G784" s="995">
        <f>E784*F784</f>
        <v>0</v>
      </c>
      <c r="H784" s="627"/>
    </row>
    <row r="785" spans="1:8" s="759" customFormat="1" x14ac:dyDescent="0.25">
      <c r="A785" s="984"/>
      <c r="B785" s="985"/>
      <c r="C785" s="986"/>
      <c r="D785" s="986"/>
      <c r="E785" s="987" t="s">
        <v>563</v>
      </c>
      <c r="F785" s="988"/>
      <c r="G785" s="989">
        <f>SUM(G782:G784)</f>
        <v>935000</v>
      </c>
      <c r="H785" s="627"/>
    </row>
    <row r="786" spans="1:8" s="759" customFormat="1" x14ac:dyDescent="0.25">
      <c r="A786" s="990" t="s">
        <v>560</v>
      </c>
      <c r="B786" s="1034" t="s">
        <v>561</v>
      </c>
      <c r="C786" s="997"/>
      <c r="D786" s="997"/>
      <c r="E786" s="998"/>
      <c r="F786" s="995"/>
      <c r="G786" s="995"/>
      <c r="H786" s="627"/>
    </row>
    <row r="787" spans="1:8" s="759" customFormat="1" x14ac:dyDescent="0.25">
      <c r="A787" s="984"/>
      <c r="B787" s="985"/>
      <c r="C787" s="986"/>
      <c r="D787" s="986"/>
      <c r="E787" s="987" t="s">
        <v>562</v>
      </c>
      <c r="F787" s="988"/>
      <c r="G787" s="989"/>
      <c r="H787" s="627"/>
    </row>
    <row r="788" spans="1:8" s="759" customFormat="1" x14ac:dyDescent="0.25">
      <c r="A788" s="984" t="s">
        <v>564</v>
      </c>
      <c r="B788" s="984" t="s">
        <v>565</v>
      </c>
      <c r="C788" s="986"/>
      <c r="D788" s="986"/>
      <c r="E788" s="987"/>
      <c r="F788" s="1001"/>
      <c r="G788" s="989">
        <f>SUM(G780+G785)</f>
        <v>991550</v>
      </c>
      <c r="H788" s="627"/>
    </row>
    <row r="789" spans="1:8" s="759" customFormat="1" x14ac:dyDescent="0.25">
      <c r="A789" s="984" t="s">
        <v>566</v>
      </c>
      <c r="B789" s="984" t="s">
        <v>568</v>
      </c>
      <c r="C789" s="986"/>
      <c r="D789" s="986"/>
      <c r="E789" s="987"/>
      <c r="F789" s="1001"/>
      <c r="G789" s="989">
        <f>G788*0.15</f>
        <v>148732.5</v>
      </c>
      <c r="H789" s="627"/>
    </row>
    <row r="790" spans="1:8" s="759" customFormat="1" x14ac:dyDescent="0.25">
      <c r="A790" s="984" t="s">
        <v>567</v>
      </c>
      <c r="B790" s="984" t="s">
        <v>569</v>
      </c>
      <c r="C790" s="986"/>
      <c r="D790" s="986"/>
      <c r="E790" s="987"/>
      <c r="F790" s="1001"/>
      <c r="G790" s="1002">
        <f>SUM(G788:G789)</f>
        <v>1140282.5</v>
      </c>
      <c r="H790" s="627"/>
    </row>
    <row r="791" spans="1:8" s="759" customFormat="1" x14ac:dyDescent="0.25">
      <c r="A791" s="996"/>
      <c r="B791" s="996"/>
      <c r="C791" s="1004"/>
      <c r="D791" s="1004"/>
      <c r="E791" s="1005"/>
      <c r="F791" s="1006"/>
      <c r="G791" s="1007"/>
      <c r="H791" s="627"/>
    </row>
    <row r="792" spans="1:8" x14ac:dyDescent="0.25">
      <c r="A792" s="963" t="s">
        <v>893</v>
      </c>
      <c r="B792" s="964"/>
      <c r="C792" s="963" t="s">
        <v>894</v>
      </c>
      <c r="D792" s="965"/>
      <c r="E792" s="966"/>
      <c r="F792" s="967"/>
      <c r="G792" s="967"/>
    </row>
    <row r="793" spans="1:8" ht="15" customHeight="1" x14ac:dyDescent="0.25">
      <c r="A793" s="968" t="s">
        <v>146</v>
      </c>
      <c r="B793" s="968" t="s">
        <v>550</v>
      </c>
      <c r="C793" s="969" t="s">
        <v>551</v>
      </c>
      <c r="D793" s="969" t="s">
        <v>552</v>
      </c>
      <c r="E793" s="970" t="s">
        <v>553</v>
      </c>
      <c r="F793" s="971" t="s">
        <v>554</v>
      </c>
      <c r="G793" s="971" t="s">
        <v>555</v>
      </c>
    </row>
    <row r="794" spans="1:8" x14ac:dyDescent="0.25">
      <c r="A794" s="972" t="s">
        <v>556</v>
      </c>
      <c r="B794" s="972" t="s">
        <v>15</v>
      </c>
      <c r="C794" s="973"/>
      <c r="D794" s="973"/>
      <c r="E794" s="974"/>
      <c r="F794" s="975"/>
      <c r="G794" s="975"/>
    </row>
    <row r="795" spans="1:8" x14ac:dyDescent="0.25">
      <c r="A795" s="976"/>
      <c r="B795" s="976" t="s">
        <v>17</v>
      </c>
      <c r="C795" s="977" t="s">
        <v>557</v>
      </c>
      <c r="D795" s="977" t="s">
        <v>242</v>
      </c>
      <c r="E795" s="978">
        <v>5.3999999999999999E-2</v>
      </c>
      <c r="F795" s="979">
        <f>$F$685</f>
        <v>110000</v>
      </c>
      <c r="G795" s="979">
        <f>E795*F795</f>
        <v>5940</v>
      </c>
    </row>
    <row r="796" spans="1:8" x14ac:dyDescent="0.25">
      <c r="A796" s="980"/>
      <c r="B796" s="980" t="s">
        <v>849</v>
      </c>
      <c r="C796" s="981" t="s">
        <v>581</v>
      </c>
      <c r="D796" s="977" t="s">
        <v>242</v>
      </c>
      <c r="E796" s="982">
        <v>0.09</v>
      </c>
      <c r="F796" s="979">
        <f>$F$686</f>
        <v>153000</v>
      </c>
      <c r="G796" s="979">
        <f>E796*F796</f>
        <v>13770</v>
      </c>
    </row>
    <row r="797" spans="1:8" x14ac:dyDescent="0.25">
      <c r="A797" s="980"/>
      <c r="B797" s="980" t="s">
        <v>93</v>
      </c>
      <c r="C797" s="981" t="s">
        <v>582</v>
      </c>
      <c r="D797" s="977" t="s">
        <v>242</v>
      </c>
      <c r="E797" s="982">
        <v>8.9999999999999993E-3</v>
      </c>
      <c r="F797" s="979">
        <f>$F$687</f>
        <v>170000</v>
      </c>
      <c r="G797" s="979">
        <f>E797*F797</f>
        <v>1529.9999999999998</v>
      </c>
    </row>
    <row r="798" spans="1:8" x14ac:dyDescent="0.25">
      <c r="A798" s="980"/>
      <c r="B798" s="980" t="s">
        <v>19</v>
      </c>
      <c r="C798" s="981" t="s">
        <v>558</v>
      </c>
      <c r="D798" s="981" t="s">
        <v>242</v>
      </c>
      <c r="E798" s="982">
        <v>2.7E-2</v>
      </c>
      <c r="F798" s="979">
        <f>$F$688</f>
        <v>150000</v>
      </c>
      <c r="G798" s="979">
        <f>E798*F798</f>
        <v>4050</v>
      </c>
    </row>
    <row r="799" spans="1:8" x14ac:dyDescent="0.25">
      <c r="A799" s="984"/>
      <c r="B799" s="985"/>
      <c r="C799" s="986"/>
      <c r="D799" s="986"/>
      <c r="E799" s="987" t="s">
        <v>559</v>
      </c>
      <c r="F799" s="988"/>
      <c r="G799" s="989">
        <f>SUM(G795:G798)</f>
        <v>25290</v>
      </c>
    </row>
    <row r="800" spans="1:8" x14ac:dyDescent="0.25">
      <c r="A800" s="1016" t="s">
        <v>1</v>
      </c>
      <c r="B800" s="1016" t="s">
        <v>5</v>
      </c>
      <c r="C800" s="992"/>
      <c r="D800" s="992"/>
      <c r="E800" s="993"/>
      <c r="F800" s="1017"/>
      <c r="G800" s="1017"/>
    </row>
    <row r="801" spans="1:7" x14ac:dyDescent="0.25">
      <c r="A801" s="972"/>
      <c r="B801" s="972" t="s">
        <v>895</v>
      </c>
      <c r="C801" s="973"/>
      <c r="D801" s="973" t="s">
        <v>305</v>
      </c>
      <c r="E801" s="974">
        <v>1.2</v>
      </c>
      <c r="F801" s="975">
        <f>'UPah &amp; Bahan oke'!H153</f>
        <v>11975</v>
      </c>
      <c r="G801" s="1017">
        <f>E801*F801</f>
        <v>14370</v>
      </c>
    </row>
    <row r="802" spans="1:7" x14ac:dyDescent="0.25">
      <c r="A802" s="1011"/>
      <c r="B802" s="1011" t="s">
        <v>888</v>
      </c>
      <c r="C802" s="1012"/>
      <c r="D802" s="1012" t="s">
        <v>889</v>
      </c>
      <c r="E802" s="1013">
        <v>35</v>
      </c>
      <c r="F802" s="1015">
        <f>F801</f>
        <v>11975</v>
      </c>
      <c r="G802" s="1015">
        <f>E802*F802/100</f>
        <v>4191.25</v>
      </c>
    </row>
    <row r="803" spans="1:7" x14ac:dyDescent="0.25">
      <c r="A803" s="984"/>
      <c r="B803" s="985"/>
      <c r="C803" s="986"/>
      <c r="D803" s="986"/>
      <c r="E803" s="987" t="s">
        <v>563</v>
      </c>
      <c r="F803" s="988"/>
      <c r="G803" s="989">
        <f>SUM(G801:G802)</f>
        <v>18561.25</v>
      </c>
    </row>
    <row r="804" spans="1:7" x14ac:dyDescent="0.25">
      <c r="A804" s="990" t="s">
        <v>560</v>
      </c>
      <c r="B804" s="1034" t="s">
        <v>561</v>
      </c>
      <c r="C804" s="997"/>
      <c r="D804" s="997"/>
      <c r="E804" s="998"/>
      <c r="F804" s="995"/>
      <c r="G804" s="995"/>
    </row>
    <row r="805" spans="1:7" x14ac:dyDescent="0.25">
      <c r="A805" s="984"/>
      <c r="B805" s="985"/>
      <c r="C805" s="986"/>
      <c r="D805" s="986"/>
      <c r="E805" s="987" t="s">
        <v>562</v>
      </c>
      <c r="F805" s="988"/>
      <c r="G805" s="989"/>
    </row>
    <row r="806" spans="1:7" x14ac:dyDescent="0.25">
      <c r="A806" s="984" t="s">
        <v>564</v>
      </c>
      <c r="B806" s="984" t="s">
        <v>565</v>
      </c>
      <c r="C806" s="986"/>
      <c r="D806" s="986"/>
      <c r="E806" s="987"/>
      <c r="F806" s="1001"/>
      <c r="G806" s="989">
        <f>SUM(G799+G803)</f>
        <v>43851.25</v>
      </c>
    </row>
    <row r="807" spans="1:7" x14ac:dyDescent="0.25">
      <c r="A807" s="984" t="s">
        <v>566</v>
      </c>
      <c r="B807" s="984" t="s">
        <v>568</v>
      </c>
      <c r="C807" s="986"/>
      <c r="D807" s="986"/>
      <c r="E807" s="987"/>
      <c r="F807" s="1001"/>
      <c r="G807" s="989">
        <f>G806*0.15</f>
        <v>6577.6875</v>
      </c>
    </row>
    <row r="808" spans="1:7" x14ac:dyDescent="0.25">
      <c r="A808" s="984" t="s">
        <v>567</v>
      </c>
      <c r="B808" s="984" t="s">
        <v>569</v>
      </c>
      <c r="C808" s="986"/>
      <c r="D808" s="986"/>
      <c r="E808" s="987"/>
      <c r="F808" s="1001"/>
      <c r="G808" s="1002">
        <f>SUM(G806:G807)</f>
        <v>50428.9375</v>
      </c>
    </row>
    <row r="809" spans="1:7" x14ac:dyDescent="0.25">
      <c r="A809" s="963" t="s">
        <v>892</v>
      </c>
      <c r="B809" s="964"/>
      <c r="C809" s="963" t="s">
        <v>891</v>
      </c>
      <c r="D809" s="965"/>
      <c r="E809" s="966"/>
      <c r="F809" s="967"/>
      <c r="G809" s="967"/>
    </row>
    <row r="810" spans="1:7" ht="25.5" x14ac:dyDescent="0.25">
      <c r="A810" s="968" t="s">
        <v>146</v>
      </c>
      <c r="B810" s="968" t="s">
        <v>550</v>
      </c>
      <c r="C810" s="969" t="s">
        <v>551</v>
      </c>
      <c r="D810" s="969" t="s">
        <v>552</v>
      </c>
      <c r="E810" s="970" t="s">
        <v>553</v>
      </c>
      <c r="F810" s="971" t="s">
        <v>554</v>
      </c>
      <c r="G810" s="971" t="s">
        <v>555</v>
      </c>
    </row>
    <row r="811" spans="1:7" x14ac:dyDescent="0.25">
      <c r="A811" s="972" t="s">
        <v>556</v>
      </c>
      <c r="B811" s="972" t="s">
        <v>15</v>
      </c>
      <c r="C811" s="973"/>
      <c r="D811" s="973"/>
      <c r="E811" s="974"/>
      <c r="F811" s="975"/>
      <c r="G811" s="975"/>
    </row>
    <row r="812" spans="1:7" x14ac:dyDescent="0.25">
      <c r="A812" s="976"/>
      <c r="B812" s="976" t="s">
        <v>17</v>
      </c>
      <c r="C812" s="977" t="s">
        <v>557</v>
      </c>
      <c r="D812" s="977" t="s">
        <v>242</v>
      </c>
      <c r="E812" s="978">
        <v>5.3999999999999999E-2</v>
      </c>
      <c r="F812" s="979">
        <f>$F$685</f>
        <v>110000</v>
      </c>
      <c r="G812" s="979">
        <f>E812*F812</f>
        <v>5940</v>
      </c>
    </row>
    <row r="813" spans="1:7" x14ac:dyDescent="0.25">
      <c r="A813" s="980"/>
      <c r="B813" s="980" t="s">
        <v>849</v>
      </c>
      <c r="C813" s="981" t="s">
        <v>581</v>
      </c>
      <c r="D813" s="977" t="s">
        <v>242</v>
      </c>
      <c r="E813" s="982">
        <v>0.09</v>
      </c>
      <c r="F813" s="979">
        <f>$F$686</f>
        <v>153000</v>
      </c>
      <c r="G813" s="979">
        <f>E813*F813</f>
        <v>13770</v>
      </c>
    </row>
    <row r="814" spans="1:7" x14ac:dyDescent="0.25">
      <c r="A814" s="980"/>
      <c r="B814" s="980" t="s">
        <v>93</v>
      </c>
      <c r="C814" s="981" t="s">
        <v>582</v>
      </c>
      <c r="D814" s="977" t="s">
        <v>242</v>
      </c>
      <c r="E814" s="982">
        <v>8.9999999999999993E-3</v>
      </c>
      <c r="F814" s="979">
        <f>$F$687</f>
        <v>170000</v>
      </c>
      <c r="G814" s="979">
        <f>E814*F814</f>
        <v>1529.9999999999998</v>
      </c>
    </row>
    <row r="815" spans="1:7" x14ac:dyDescent="0.25">
      <c r="A815" s="980"/>
      <c r="B815" s="980" t="s">
        <v>19</v>
      </c>
      <c r="C815" s="981" t="s">
        <v>558</v>
      </c>
      <c r="D815" s="981" t="s">
        <v>242</v>
      </c>
      <c r="E815" s="982">
        <v>2.7E-2</v>
      </c>
      <c r="F815" s="979">
        <f>$F$688</f>
        <v>150000</v>
      </c>
      <c r="G815" s="979">
        <f>E815*F815</f>
        <v>4050</v>
      </c>
    </row>
    <row r="816" spans="1:7" x14ac:dyDescent="0.25">
      <c r="A816" s="984"/>
      <c r="B816" s="985"/>
      <c r="C816" s="986"/>
      <c r="D816" s="986"/>
      <c r="E816" s="987" t="s">
        <v>559</v>
      </c>
      <c r="F816" s="988"/>
      <c r="G816" s="989">
        <f>SUM(G812:G815)</f>
        <v>25290</v>
      </c>
    </row>
    <row r="817" spans="1:7" x14ac:dyDescent="0.25">
      <c r="A817" s="1016" t="s">
        <v>1</v>
      </c>
      <c r="B817" s="1016" t="s">
        <v>5</v>
      </c>
      <c r="C817" s="992"/>
      <c r="D817" s="992"/>
      <c r="E817" s="993"/>
      <c r="F817" s="1017"/>
      <c r="G817" s="1017"/>
    </row>
    <row r="818" spans="1:7" x14ac:dyDescent="0.25">
      <c r="A818" s="972"/>
      <c r="B818" s="972" t="s">
        <v>890</v>
      </c>
      <c r="C818" s="973"/>
      <c r="D818" s="973" t="s">
        <v>305</v>
      </c>
      <c r="E818" s="974">
        <v>1.05</v>
      </c>
      <c r="F818" s="975">
        <f>'UPah &amp; Bahan oke'!H157</f>
        <v>44250</v>
      </c>
      <c r="G818" s="1017">
        <f>E818*F818</f>
        <v>46462.5</v>
      </c>
    </row>
    <row r="819" spans="1:7" x14ac:dyDescent="0.25">
      <c r="A819" s="1011"/>
      <c r="B819" s="1011" t="s">
        <v>888</v>
      </c>
      <c r="C819" s="1012"/>
      <c r="D819" s="1012" t="s">
        <v>889</v>
      </c>
      <c r="E819" s="1013">
        <v>10</v>
      </c>
      <c r="F819" s="1015">
        <f>F818</f>
        <v>44250</v>
      </c>
      <c r="G819" s="1015">
        <f>E819*F819/100</f>
        <v>4425</v>
      </c>
    </row>
    <row r="820" spans="1:7" x14ac:dyDescent="0.25">
      <c r="A820" s="984"/>
      <c r="B820" s="985"/>
      <c r="C820" s="986"/>
      <c r="D820" s="986"/>
      <c r="E820" s="987" t="s">
        <v>563</v>
      </c>
      <c r="F820" s="988"/>
      <c r="G820" s="989">
        <f>SUM(G818:G819)</f>
        <v>50887.5</v>
      </c>
    </row>
    <row r="821" spans="1:7" x14ac:dyDescent="0.25">
      <c r="A821" s="990" t="s">
        <v>560</v>
      </c>
      <c r="B821" s="1034" t="s">
        <v>561</v>
      </c>
      <c r="C821" s="997"/>
      <c r="D821" s="997"/>
      <c r="E821" s="998"/>
      <c r="F821" s="995"/>
      <c r="G821" s="995"/>
    </row>
    <row r="822" spans="1:7" x14ac:dyDescent="0.25">
      <c r="A822" s="984"/>
      <c r="B822" s="985"/>
      <c r="C822" s="986"/>
      <c r="D822" s="986"/>
      <c r="E822" s="987" t="s">
        <v>562</v>
      </c>
      <c r="F822" s="988"/>
      <c r="G822" s="989"/>
    </row>
    <row r="823" spans="1:7" x14ac:dyDescent="0.25">
      <c r="A823" s="984" t="s">
        <v>564</v>
      </c>
      <c r="B823" s="984" t="s">
        <v>565</v>
      </c>
      <c r="C823" s="986"/>
      <c r="D823" s="986"/>
      <c r="E823" s="987"/>
      <c r="F823" s="1001"/>
      <c r="G823" s="989">
        <f>SUM(G816+G820)</f>
        <v>76177.5</v>
      </c>
    </row>
    <row r="824" spans="1:7" x14ac:dyDescent="0.25">
      <c r="A824" s="984" t="s">
        <v>566</v>
      </c>
      <c r="B824" s="984" t="s">
        <v>568</v>
      </c>
      <c r="C824" s="986"/>
      <c r="D824" s="986"/>
      <c r="E824" s="987"/>
      <c r="F824" s="1001"/>
      <c r="G824" s="989">
        <f>G823*0.15</f>
        <v>11426.625</v>
      </c>
    </row>
    <row r="825" spans="1:7" x14ac:dyDescent="0.25">
      <c r="A825" s="984" t="s">
        <v>567</v>
      </c>
      <c r="B825" s="984" t="s">
        <v>569</v>
      </c>
      <c r="C825" s="986"/>
      <c r="D825" s="986"/>
      <c r="E825" s="987"/>
      <c r="F825" s="1001"/>
      <c r="G825" s="1002">
        <f>SUM(G823:G824)</f>
        <v>87604.125</v>
      </c>
    </row>
    <row r="826" spans="1:7" x14ac:dyDescent="0.25">
      <c r="A826" s="963" t="s">
        <v>884</v>
      </c>
      <c r="B826" s="964"/>
      <c r="C826" s="963" t="s">
        <v>898</v>
      </c>
      <c r="D826" s="965"/>
      <c r="E826" s="966"/>
      <c r="F826" s="967"/>
      <c r="G826" s="967"/>
    </row>
    <row r="827" spans="1:7" ht="25.5" x14ac:dyDescent="0.25">
      <c r="A827" s="968" t="s">
        <v>146</v>
      </c>
      <c r="B827" s="968" t="s">
        <v>550</v>
      </c>
      <c r="C827" s="969" t="s">
        <v>551</v>
      </c>
      <c r="D827" s="969" t="s">
        <v>552</v>
      </c>
      <c r="E827" s="970" t="s">
        <v>553</v>
      </c>
      <c r="F827" s="971" t="s">
        <v>554</v>
      </c>
      <c r="G827" s="971" t="s">
        <v>555</v>
      </c>
    </row>
    <row r="828" spans="1:7" x14ac:dyDescent="0.25">
      <c r="A828" s="972" t="s">
        <v>556</v>
      </c>
      <c r="B828" s="972" t="s">
        <v>15</v>
      </c>
      <c r="C828" s="973"/>
      <c r="D828" s="973"/>
      <c r="E828" s="974"/>
      <c r="F828" s="975"/>
      <c r="G828" s="975"/>
    </row>
    <row r="829" spans="1:7" x14ac:dyDescent="0.25">
      <c r="A829" s="976"/>
      <c r="B829" s="976" t="s">
        <v>17</v>
      </c>
      <c r="C829" s="977" t="s">
        <v>557</v>
      </c>
      <c r="D829" s="977" t="s">
        <v>242</v>
      </c>
      <c r="E829" s="978">
        <v>0.315</v>
      </c>
      <c r="F829" s="979">
        <f>$F$685</f>
        <v>110000</v>
      </c>
      <c r="G829" s="979">
        <f>E829*F829</f>
        <v>34650</v>
      </c>
    </row>
    <row r="830" spans="1:7" x14ac:dyDescent="0.25">
      <c r="A830" s="980"/>
      <c r="B830" s="980" t="s">
        <v>849</v>
      </c>
      <c r="C830" s="981" t="s">
        <v>581</v>
      </c>
      <c r="D830" s="977" t="s">
        <v>242</v>
      </c>
      <c r="E830" s="982">
        <v>0.11249999999999999</v>
      </c>
      <c r="F830" s="979">
        <f>$F$686</f>
        <v>153000</v>
      </c>
      <c r="G830" s="979">
        <f>E830*F830</f>
        <v>17212.5</v>
      </c>
    </row>
    <row r="831" spans="1:7" x14ac:dyDescent="0.25">
      <c r="A831" s="980"/>
      <c r="B831" s="980" t="s">
        <v>93</v>
      </c>
      <c r="C831" s="981" t="s">
        <v>582</v>
      </c>
      <c r="D831" s="977" t="s">
        <v>242</v>
      </c>
      <c r="E831" s="982">
        <v>1.0500000000000001E-2</v>
      </c>
      <c r="F831" s="979">
        <f>$F$687</f>
        <v>170000</v>
      </c>
      <c r="G831" s="979">
        <f>E831*F831</f>
        <v>1785</v>
      </c>
    </row>
    <row r="832" spans="1:7" x14ac:dyDescent="0.25">
      <c r="A832" s="980"/>
      <c r="B832" s="980" t="s">
        <v>19</v>
      </c>
      <c r="C832" s="981" t="s">
        <v>558</v>
      </c>
      <c r="D832" s="981" t="s">
        <v>242</v>
      </c>
      <c r="E832" s="982">
        <v>1.6500000000000001E-2</v>
      </c>
      <c r="F832" s="979">
        <f>$F$688</f>
        <v>150000</v>
      </c>
      <c r="G832" s="979">
        <f>E832*F832</f>
        <v>2475</v>
      </c>
    </row>
    <row r="833" spans="1:7" x14ac:dyDescent="0.25">
      <c r="A833" s="984"/>
      <c r="B833" s="985"/>
      <c r="C833" s="986"/>
      <c r="D833" s="986"/>
      <c r="E833" s="987" t="s">
        <v>559</v>
      </c>
      <c r="F833" s="988"/>
      <c r="G833" s="989">
        <f>SUM(G829:G832)</f>
        <v>56122.5</v>
      </c>
    </row>
    <row r="834" spans="1:7" x14ac:dyDescent="0.25">
      <c r="A834" s="1016" t="s">
        <v>1</v>
      </c>
      <c r="B834" s="1016" t="s">
        <v>5</v>
      </c>
      <c r="C834" s="992"/>
      <c r="D834" s="992"/>
      <c r="E834" s="993"/>
      <c r="F834" s="1017"/>
      <c r="G834" s="1017"/>
    </row>
    <row r="835" spans="1:7" x14ac:dyDescent="0.25">
      <c r="A835" s="972"/>
      <c r="B835" s="972" t="s">
        <v>897</v>
      </c>
      <c r="C835" s="973"/>
      <c r="D835" s="973" t="s">
        <v>305</v>
      </c>
      <c r="E835" s="974">
        <v>1.05</v>
      </c>
      <c r="F835" s="975">
        <f>'UPah &amp; Bahan oke'!H146</f>
        <v>280000</v>
      </c>
      <c r="G835" s="1017">
        <f>E835*F835</f>
        <v>294000</v>
      </c>
    </row>
    <row r="836" spans="1:7" x14ac:dyDescent="0.25">
      <c r="A836" s="984"/>
      <c r="B836" s="985"/>
      <c r="C836" s="986"/>
      <c r="D836" s="986"/>
      <c r="E836" s="987" t="s">
        <v>563</v>
      </c>
      <c r="F836" s="988"/>
      <c r="G836" s="989">
        <f>SUM(G835:G835)</f>
        <v>294000</v>
      </c>
    </row>
    <row r="837" spans="1:7" x14ac:dyDescent="0.25">
      <c r="A837" s="990" t="s">
        <v>560</v>
      </c>
      <c r="B837" s="1034" t="s">
        <v>561</v>
      </c>
      <c r="C837" s="997"/>
      <c r="D837" s="997"/>
      <c r="E837" s="998"/>
      <c r="F837" s="995"/>
      <c r="G837" s="995"/>
    </row>
    <row r="838" spans="1:7" x14ac:dyDescent="0.25">
      <c r="A838" s="984"/>
      <c r="B838" s="985"/>
      <c r="C838" s="986"/>
      <c r="D838" s="986"/>
      <c r="E838" s="987" t="s">
        <v>562</v>
      </c>
      <c r="F838" s="988"/>
      <c r="G838" s="989"/>
    </row>
    <row r="839" spans="1:7" x14ac:dyDescent="0.25">
      <c r="A839" s="984" t="s">
        <v>564</v>
      </c>
      <c r="B839" s="984" t="s">
        <v>565</v>
      </c>
      <c r="C839" s="986"/>
      <c r="D839" s="986"/>
      <c r="E839" s="987"/>
      <c r="F839" s="1001"/>
      <c r="G839" s="989">
        <f>SUM(G833+G836)</f>
        <v>350122.5</v>
      </c>
    </row>
    <row r="840" spans="1:7" x14ac:dyDescent="0.25">
      <c r="A840" s="984" t="s">
        <v>566</v>
      </c>
      <c r="B840" s="984" t="s">
        <v>568</v>
      </c>
      <c r="C840" s="986"/>
      <c r="D840" s="986"/>
      <c r="E840" s="987"/>
      <c r="F840" s="1001"/>
      <c r="G840" s="989">
        <f>G839*0.15</f>
        <v>52518.375</v>
      </c>
    </row>
    <row r="841" spans="1:7" x14ac:dyDescent="0.25">
      <c r="A841" s="984" t="s">
        <v>567</v>
      </c>
      <c r="B841" s="984" t="s">
        <v>569</v>
      </c>
      <c r="C841" s="986"/>
      <c r="D841" s="986"/>
      <c r="E841" s="987"/>
      <c r="F841" s="1001"/>
      <c r="G841" s="1002">
        <f>SUM(G839:G840)</f>
        <v>402640.875</v>
      </c>
    </row>
    <row r="842" spans="1:7" x14ac:dyDescent="0.25">
      <c r="A842" s="963" t="s">
        <v>899</v>
      </c>
      <c r="B842" s="964"/>
      <c r="C842" s="963" t="s">
        <v>900</v>
      </c>
      <c r="D842" s="965"/>
      <c r="E842" s="966"/>
      <c r="F842" s="967"/>
      <c r="G842" s="967"/>
    </row>
    <row r="843" spans="1:7" ht="25.5" x14ac:dyDescent="0.25">
      <c r="A843" s="968" t="s">
        <v>146</v>
      </c>
      <c r="B843" s="968" t="s">
        <v>550</v>
      </c>
      <c r="C843" s="969" t="s">
        <v>551</v>
      </c>
      <c r="D843" s="969" t="s">
        <v>552</v>
      </c>
      <c r="E843" s="970" t="s">
        <v>553</v>
      </c>
      <c r="F843" s="971" t="s">
        <v>554</v>
      </c>
      <c r="G843" s="971" t="s">
        <v>555</v>
      </c>
    </row>
    <row r="844" spans="1:7" x14ac:dyDescent="0.25">
      <c r="A844" s="972" t="s">
        <v>556</v>
      </c>
      <c r="B844" s="972" t="s">
        <v>15</v>
      </c>
      <c r="C844" s="973"/>
      <c r="D844" s="973"/>
      <c r="E844" s="974"/>
      <c r="F844" s="975"/>
      <c r="G844" s="975"/>
    </row>
    <row r="845" spans="1:7" x14ac:dyDescent="0.25">
      <c r="A845" s="976"/>
      <c r="B845" s="976" t="s">
        <v>17</v>
      </c>
      <c r="C845" s="977" t="s">
        <v>557</v>
      </c>
      <c r="D845" s="977" t="s">
        <v>242</v>
      </c>
      <c r="E845" s="978">
        <v>0.01</v>
      </c>
      <c r="F845" s="979">
        <f>$F$685</f>
        <v>110000</v>
      </c>
      <c r="G845" s="979">
        <f>E845*F845</f>
        <v>1100</v>
      </c>
    </row>
    <row r="846" spans="1:7" x14ac:dyDescent="0.25">
      <c r="A846" s="980"/>
      <c r="B846" s="980" t="s">
        <v>849</v>
      </c>
      <c r="C846" s="981" t="s">
        <v>581</v>
      </c>
      <c r="D846" s="977" t="s">
        <v>242</v>
      </c>
      <c r="E846" s="982">
        <v>0.1</v>
      </c>
      <c r="F846" s="979">
        <f>$F$686</f>
        <v>153000</v>
      </c>
      <c r="G846" s="979">
        <f>E846*F846</f>
        <v>15300</v>
      </c>
    </row>
    <row r="847" spans="1:7" x14ac:dyDescent="0.25">
      <c r="A847" s="980"/>
      <c r="B847" s="980" t="s">
        <v>93</v>
      </c>
      <c r="C847" s="981" t="s">
        <v>582</v>
      </c>
      <c r="D847" s="977" t="s">
        <v>242</v>
      </c>
      <c r="E847" s="982">
        <v>0.01</v>
      </c>
      <c r="F847" s="979">
        <f>$F$687</f>
        <v>170000</v>
      </c>
      <c r="G847" s="979">
        <f>E847*F847</f>
        <v>1700</v>
      </c>
    </row>
    <row r="848" spans="1:7" x14ac:dyDescent="0.25">
      <c r="A848" s="980"/>
      <c r="B848" s="980" t="s">
        <v>19</v>
      </c>
      <c r="C848" s="981" t="s">
        <v>558</v>
      </c>
      <c r="D848" s="981" t="s">
        <v>242</v>
      </c>
      <c r="E848" s="982">
        <v>5.0000000000000001E-3</v>
      </c>
      <c r="F848" s="979">
        <f>$F$688</f>
        <v>150000</v>
      </c>
      <c r="G848" s="979">
        <f>E848*F848</f>
        <v>750</v>
      </c>
    </row>
    <row r="849" spans="1:16" x14ac:dyDescent="0.25">
      <c r="A849" s="984"/>
      <c r="B849" s="985"/>
      <c r="C849" s="986"/>
      <c r="D849" s="986"/>
      <c r="E849" s="987" t="s">
        <v>559</v>
      </c>
      <c r="F849" s="988"/>
      <c r="G849" s="989">
        <f>SUM(G845:G848)</f>
        <v>18850</v>
      </c>
    </row>
    <row r="850" spans="1:16" x14ac:dyDescent="0.25">
      <c r="A850" s="1016" t="s">
        <v>1</v>
      </c>
      <c r="B850" s="1016" t="s">
        <v>5</v>
      </c>
      <c r="C850" s="992"/>
      <c r="D850" s="992"/>
      <c r="E850" s="993"/>
      <c r="F850" s="1017"/>
      <c r="G850" s="1017"/>
    </row>
    <row r="851" spans="1:16" x14ac:dyDescent="0.25">
      <c r="A851" s="972"/>
      <c r="B851" s="972" t="s">
        <v>901</v>
      </c>
      <c r="C851" s="973"/>
      <c r="D851" s="973" t="s">
        <v>308</v>
      </c>
      <c r="E851" s="974">
        <v>1</v>
      </c>
      <c r="F851" s="975">
        <f>'UPah &amp; Bahan oke'!H145</f>
        <v>23250</v>
      </c>
      <c r="G851" s="975">
        <f>E851*F851</f>
        <v>23250</v>
      </c>
    </row>
    <row r="852" spans="1:16" x14ac:dyDescent="0.25">
      <c r="A852" s="1011"/>
      <c r="B852" s="1011" t="s">
        <v>902</v>
      </c>
      <c r="C852" s="1012"/>
      <c r="D852" s="1012" t="s">
        <v>308</v>
      </c>
      <c r="E852" s="1013">
        <v>2.5000000000000001E-2</v>
      </c>
      <c r="F852" s="1015">
        <f>'UPah &amp; Bahan oke'!H159</f>
        <v>3500</v>
      </c>
      <c r="G852" s="1015">
        <f>E852*F852</f>
        <v>87.5</v>
      </c>
    </row>
    <row r="853" spans="1:16" x14ac:dyDescent="0.25">
      <c r="A853" s="984"/>
      <c r="B853" s="985"/>
      <c r="C853" s="986"/>
      <c r="D853" s="986"/>
      <c r="E853" s="987" t="s">
        <v>563</v>
      </c>
      <c r="F853" s="988"/>
      <c r="G853" s="989">
        <f>SUM(G851:G852)</f>
        <v>23337.5</v>
      </c>
    </row>
    <row r="854" spans="1:16" x14ac:dyDescent="0.25">
      <c r="A854" s="990" t="s">
        <v>560</v>
      </c>
      <c r="B854" s="1034" t="s">
        <v>561</v>
      </c>
      <c r="C854" s="997"/>
      <c r="D854" s="997"/>
      <c r="E854" s="998"/>
      <c r="F854" s="995"/>
      <c r="G854" s="995"/>
    </row>
    <row r="855" spans="1:16" x14ac:dyDescent="0.25">
      <c r="A855" s="984"/>
      <c r="B855" s="985"/>
      <c r="C855" s="986"/>
      <c r="D855" s="986"/>
      <c r="E855" s="987" t="s">
        <v>562</v>
      </c>
      <c r="F855" s="988"/>
      <c r="G855" s="989"/>
    </row>
    <row r="856" spans="1:16" x14ac:dyDescent="0.25">
      <c r="A856" s="984" t="s">
        <v>564</v>
      </c>
      <c r="B856" s="984" t="s">
        <v>565</v>
      </c>
      <c r="C856" s="986"/>
      <c r="D856" s="986"/>
      <c r="E856" s="987"/>
      <c r="F856" s="1001"/>
      <c r="G856" s="989">
        <f>SUM(G849+G853)</f>
        <v>42187.5</v>
      </c>
    </row>
    <row r="857" spans="1:16" x14ac:dyDescent="0.25">
      <c r="A857" s="984" t="s">
        <v>566</v>
      </c>
      <c r="B857" s="984" t="s">
        <v>568</v>
      </c>
      <c r="C857" s="986"/>
      <c r="D857" s="986"/>
      <c r="E857" s="987"/>
      <c r="F857" s="1001"/>
      <c r="G857" s="989">
        <f>G856*0.15</f>
        <v>6328.125</v>
      </c>
    </row>
    <row r="858" spans="1:16" x14ac:dyDescent="0.25">
      <c r="A858" s="984" t="s">
        <v>567</v>
      </c>
      <c r="B858" s="984" t="s">
        <v>569</v>
      </c>
      <c r="C858" s="986"/>
      <c r="D858" s="986"/>
      <c r="E858" s="987"/>
      <c r="F858" s="1001"/>
      <c r="G858" s="1002">
        <f>SUM(G856:G857)</f>
        <v>48515.625</v>
      </c>
    </row>
    <row r="860" spans="1:16" x14ac:dyDescent="0.25">
      <c r="A860" s="356" t="s">
        <v>1138</v>
      </c>
    </row>
    <row r="861" spans="1:16" ht="25.5" x14ac:dyDescent="0.25">
      <c r="A861" s="968" t="s">
        <v>146</v>
      </c>
      <c r="B861" s="968" t="s">
        <v>550</v>
      </c>
      <c r="C861" s="969" t="s">
        <v>551</v>
      </c>
      <c r="D861" s="969" t="s">
        <v>552</v>
      </c>
      <c r="E861" s="970" t="s">
        <v>553</v>
      </c>
      <c r="F861" s="971" t="s">
        <v>554</v>
      </c>
      <c r="G861" s="971" t="s">
        <v>555</v>
      </c>
      <c r="I861" t="s">
        <v>1099</v>
      </c>
      <c r="J861" t="s">
        <v>1100</v>
      </c>
      <c r="K861" t="s">
        <v>1101</v>
      </c>
      <c r="L861" t="s">
        <v>1102</v>
      </c>
      <c r="M861" t="s">
        <v>1103</v>
      </c>
      <c r="N861" t="s">
        <v>1104</v>
      </c>
      <c r="P861" t="s">
        <v>1105</v>
      </c>
    </row>
    <row r="862" spans="1:16" x14ac:dyDescent="0.25">
      <c r="A862" s="972" t="s">
        <v>556</v>
      </c>
      <c r="B862" s="972" t="s">
        <v>15</v>
      </c>
      <c r="C862" s="973"/>
      <c r="D862" s="973"/>
      <c r="E862" s="974"/>
      <c r="F862" s="975"/>
      <c r="G862" s="975"/>
      <c r="I862" t="s">
        <v>1106</v>
      </c>
      <c r="J862" t="s">
        <v>1107</v>
      </c>
      <c r="K862" t="s">
        <v>1108</v>
      </c>
      <c r="L862" t="s">
        <v>1108</v>
      </c>
      <c r="M862" t="s">
        <v>1108</v>
      </c>
      <c r="N862" t="s">
        <v>1108</v>
      </c>
      <c r="P862" t="s">
        <v>1108</v>
      </c>
    </row>
    <row r="863" spans="1:16" x14ac:dyDescent="0.25">
      <c r="A863" s="976"/>
      <c r="B863" s="976" t="s">
        <v>17</v>
      </c>
      <c r="C863" s="977" t="s">
        <v>557</v>
      </c>
      <c r="D863" s="977" t="s">
        <v>242</v>
      </c>
      <c r="E863" s="356">
        <v>0.7</v>
      </c>
      <c r="F863" s="979">
        <f>$F$685</f>
        <v>110000</v>
      </c>
      <c r="G863" s="979">
        <f>E863*F863</f>
        <v>77000</v>
      </c>
      <c r="I863" t="s">
        <v>1108</v>
      </c>
      <c r="J863" t="s">
        <v>1109</v>
      </c>
      <c r="K863" t="s">
        <v>1110</v>
      </c>
      <c r="L863" t="s">
        <v>1111</v>
      </c>
      <c r="N863" t="s">
        <v>1108</v>
      </c>
      <c r="P863" t="s">
        <v>1108</v>
      </c>
    </row>
    <row r="864" spans="1:16" x14ac:dyDescent="0.25">
      <c r="A864" s="980"/>
      <c r="B864" s="980" t="s">
        <v>849</v>
      </c>
      <c r="C864" s="981" t="s">
        <v>581</v>
      </c>
      <c r="D864" s="977" t="s">
        <v>242</v>
      </c>
      <c r="E864" s="1339">
        <v>0.35</v>
      </c>
      <c r="F864" s="979">
        <f>$F$686</f>
        <v>153000</v>
      </c>
      <c r="G864" s="979">
        <f>E864*F864</f>
        <v>53550</v>
      </c>
      <c r="I864" t="s">
        <v>1108</v>
      </c>
      <c r="J864" t="s">
        <v>1112</v>
      </c>
      <c r="K864" t="s">
        <v>1113</v>
      </c>
      <c r="L864" t="s">
        <v>1111</v>
      </c>
      <c r="N864" t="s">
        <v>1108</v>
      </c>
      <c r="P864" t="s">
        <v>1108</v>
      </c>
    </row>
    <row r="865" spans="1:16" x14ac:dyDescent="0.25">
      <c r="A865" s="980"/>
      <c r="B865" s="980" t="s">
        <v>93</v>
      </c>
      <c r="C865" s="981" t="s">
        <v>582</v>
      </c>
      <c r="D865" s="977" t="s">
        <v>242</v>
      </c>
      <c r="E865" s="1339">
        <v>3.5000000000000003E-2</v>
      </c>
      <c r="F865" s="979">
        <f>$F$687</f>
        <v>170000</v>
      </c>
      <c r="G865" s="979">
        <f>E865*F865</f>
        <v>5950.0000000000009</v>
      </c>
      <c r="I865" t="s">
        <v>1108</v>
      </c>
      <c r="J865" t="s">
        <v>1114</v>
      </c>
      <c r="K865" t="s">
        <v>1115</v>
      </c>
      <c r="L865" t="s">
        <v>1111</v>
      </c>
      <c r="N865" t="s">
        <v>1108</v>
      </c>
      <c r="P865" t="s">
        <v>1108</v>
      </c>
    </row>
    <row r="866" spans="1:16" x14ac:dyDescent="0.25">
      <c r="A866" s="980"/>
      <c r="B866" s="980" t="s">
        <v>19</v>
      </c>
      <c r="C866" s="981" t="s">
        <v>558</v>
      </c>
      <c r="D866" s="981" t="s">
        <v>242</v>
      </c>
      <c r="E866" s="356">
        <v>3.5000000000000003E-2</v>
      </c>
      <c r="F866" s="979">
        <f>$F$688</f>
        <v>150000</v>
      </c>
      <c r="G866" s="979">
        <f>E866*F866</f>
        <v>5250.0000000000009</v>
      </c>
      <c r="I866" t="s">
        <v>1108</v>
      </c>
      <c r="J866" t="s">
        <v>1116</v>
      </c>
      <c r="K866" t="s">
        <v>1117</v>
      </c>
      <c r="L866" t="s">
        <v>1111</v>
      </c>
      <c r="N866" t="s">
        <v>1108</v>
      </c>
      <c r="P866" t="s">
        <v>1108</v>
      </c>
    </row>
    <row r="867" spans="1:16" x14ac:dyDescent="0.25">
      <c r="A867" s="984"/>
      <c r="B867" s="985"/>
      <c r="C867" s="986"/>
      <c r="D867" s="986"/>
      <c r="E867" s="987" t="s">
        <v>559</v>
      </c>
      <c r="F867" s="988"/>
      <c r="G867" s="989">
        <f>SUM(G863:G866)</f>
        <v>141750</v>
      </c>
      <c r="I867" t="s">
        <v>1108</v>
      </c>
      <c r="J867" t="s">
        <v>1108</v>
      </c>
      <c r="K867" t="s">
        <v>1108</v>
      </c>
      <c r="L867" t="s">
        <v>1108</v>
      </c>
      <c r="M867" t="s">
        <v>1118</v>
      </c>
      <c r="P867" t="s">
        <v>1108</v>
      </c>
    </row>
    <row r="868" spans="1:16" x14ac:dyDescent="0.25">
      <c r="A868" s="1016" t="s">
        <v>1</v>
      </c>
      <c r="B868" s="1016" t="s">
        <v>5</v>
      </c>
      <c r="C868" s="992"/>
      <c r="D868" s="1368"/>
      <c r="E868" s="993"/>
      <c r="F868" s="1017"/>
      <c r="G868" s="1017"/>
      <c r="I868" t="s">
        <v>1119</v>
      </c>
      <c r="J868" t="s">
        <v>1120</v>
      </c>
      <c r="K868" t="s">
        <v>1108</v>
      </c>
      <c r="L868" t="s">
        <v>1108</v>
      </c>
      <c r="M868" t="s">
        <v>1108</v>
      </c>
      <c r="N868" t="s">
        <v>1108</v>
      </c>
      <c r="P868" t="s">
        <v>1108</v>
      </c>
    </row>
    <row r="869" spans="1:16" x14ac:dyDescent="0.25">
      <c r="A869" s="976"/>
      <c r="B869" s="1397" t="s">
        <v>1139</v>
      </c>
      <c r="C869" s="977"/>
      <c r="D869" s="1466" t="s">
        <v>1121</v>
      </c>
      <c r="E869" s="1339">
        <v>3.1</v>
      </c>
      <c r="F869" s="979">
        <f>'UPah &amp; Bahan oke'!H85/4</f>
        <v>57500</v>
      </c>
      <c r="G869" s="979">
        <f>E869*F869</f>
        <v>178250</v>
      </c>
    </row>
    <row r="870" spans="1:16" x14ac:dyDescent="0.25">
      <c r="A870" s="976"/>
      <c r="B870" s="1397" t="s">
        <v>1122</v>
      </c>
      <c r="C870" s="977"/>
      <c r="D870" s="1466" t="s">
        <v>1123</v>
      </c>
      <c r="E870" s="1339">
        <v>9.6</v>
      </c>
      <c r="F870" s="979">
        <f>'UPah &amp; Bahan oke'!H29</f>
        <v>1687.5</v>
      </c>
      <c r="G870" s="979">
        <f>E870*F870</f>
        <v>16200</v>
      </c>
    </row>
    <row r="871" spans="1:16" x14ac:dyDescent="0.25">
      <c r="A871" s="976"/>
      <c r="B871" s="1397" t="s">
        <v>1124</v>
      </c>
      <c r="C871" s="977"/>
      <c r="D871" s="356" t="s">
        <v>1125</v>
      </c>
      <c r="E871" s="1339">
        <v>1.5</v>
      </c>
      <c r="F871" s="979">
        <v>5000</v>
      </c>
      <c r="G871" s="979">
        <f>E871*F871</f>
        <v>7500</v>
      </c>
      <c r="I871" t="s">
        <v>1108</v>
      </c>
      <c r="K871" t="s">
        <v>1108</v>
      </c>
      <c r="N871" t="s">
        <v>1108</v>
      </c>
      <c r="P871" t="s">
        <v>1108</v>
      </c>
    </row>
    <row r="872" spans="1:16" x14ac:dyDescent="0.25">
      <c r="A872" s="1011"/>
      <c r="B872" s="1398" t="s">
        <v>1126</v>
      </c>
      <c r="C872" s="1012"/>
      <c r="D872" s="1369" t="s">
        <v>7</v>
      </c>
      <c r="E872" s="1399">
        <v>4.4999999999999998E-2</v>
      </c>
      <c r="F872" s="1015">
        <f>'UPah &amp; Bahan oke'!H18</f>
        <v>185000</v>
      </c>
      <c r="G872" s="979">
        <f>E872*F872</f>
        <v>8325</v>
      </c>
      <c r="I872" t="s">
        <v>1108</v>
      </c>
      <c r="K872" t="s">
        <v>1108</v>
      </c>
      <c r="N872" t="s">
        <v>1108</v>
      </c>
      <c r="P872" t="s">
        <v>1108</v>
      </c>
    </row>
    <row r="873" spans="1:16" x14ac:dyDescent="0.25">
      <c r="A873" s="984"/>
      <c r="B873" s="985"/>
      <c r="C873" s="986"/>
      <c r="D873" s="986"/>
      <c r="E873" s="987" t="s">
        <v>563</v>
      </c>
      <c r="F873" s="988"/>
      <c r="G873" s="989">
        <f>SUM(G869:G872)</f>
        <v>210275</v>
      </c>
      <c r="I873" t="s">
        <v>1108</v>
      </c>
      <c r="K873" t="s">
        <v>1108</v>
      </c>
      <c r="N873" t="s">
        <v>1108</v>
      </c>
      <c r="P873" t="s">
        <v>1108</v>
      </c>
    </row>
    <row r="874" spans="1:16" x14ac:dyDescent="0.25">
      <c r="A874" s="990" t="s">
        <v>560</v>
      </c>
      <c r="B874" s="1034" t="s">
        <v>561</v>
      </c>
      <c r="C874" s="997"/>
      <c r="D874" s="997"/>
      <c r="E874" s="998"/>
      <c r="F874" s="995"/>
      <c r="G874" s="995"/>
      <c r="I874" t="s">
        <v>1108</v>
      </c>
      <c r="K874" t="s">
        <v>1108</v>
      </c>
      <c r="L874" t="s">
        <v>1127</v>
      </c>
      <c r="N874" t="s">
        <v>1108</v>
      </c>
      <c r="P874" t="s">
        <v>1108</v>
      </c>
    </row>
    <row r="875" spans="1:16" x14ac:dyDescent="0.25">
      <c r="A875" s="984"/>
      <c r="B875" s="985"/>
      <c r="C875" s="986"/>
      <c r="D875" s="986"/>
      <c r="E875" s="987" t="s">
        <v>562</v>
      </c>
      <c r="F875" s="988"/>
      <c r="G875" s="989"/>
      <c r="I875" t="s">
        <v>1108</v>
      </c>
      <c r="J875" t="s">
        <v>1108</v>
      </c>
      <c r="K875" t="s">
        <v>1108</v>
      </c>
      <c r="L875" t="s">
        <v>1108</v>
      </c>
      <c r="M875" t="s">
        <v>1128</v>
      </c>
      <c r="P875" t="s">
        <v>1108</v>
      </c>
    </row>
    <row r="876" spans="1:16" x14ac:dyDescent="0.25">
      <c r="A876" s="984" t="s">
        <v>564</v>
      </c>
      <c r="B876" s="984" t="s">
        <v>565</v>
      </c>
      <c r="C876" s="986"/>
      <c r="D876" s="986"/>
      <c r="E876" s="987"/>
      <c r="F876" s="1001"/>
      <c r="G876" s="989">
        <f>SUM(G867+G873)</f>
        <v>352025</v>
      </c>
      <c r="I876" t="s">
        <v>1129</v>
      </c>
      <c r="J876" t="s">
        <v>1130</v>
      </c>
      <c r="K876" t="s">
        <v>1108</v>
      </c>
      <c r="L876" t="s">
        <v>1108</v>
      </c>
      <c r="M876" t="s">
        <v>1108</v>
      </c>
      <c r="N876" t="s">
        <v>1108</v>
      </c>
      <c r="P876" t="s">
        <v>1108</v>
      </c>
    </row>
    <row r="877" spans="1:16" x14ac:dyDescent="0.25">
      <c r="A877" s="984" t="s">
        <v>566</v>
      </c>
      <c r="B877" s="984" t="s">
        <v>568</v>
      </c>
      <c r="C877" s="986"/>
      <c r="D877" s="986"/>
      <c r="E877" s="987"/>
      <c r="F877" s="1001"/>
      <c r="G877" s="989">
        <f>G876*0.15</f>
        <v>52803.75</v>
      </c>
      <c r="I877" t="s">
        <v>1108</v>
      </c>
      <c r="J877" t="s">
        <v>1108</v>
      </c>
      <c r="K877" t="s">
        <v>1108</v>
      </c>
      <c r="L877" t="s">
        <v>1108</v>
      </c>
      <c r="M877" t="s">
        <v>1108</v>
      </c>
      <c r="N877" t="s">
        <v>1108</v>
      </c>
      <c r="P877" t="s">
        <v>1108</v>
      </c>
    </row>
    <row r="878" spans="1:16" x14ac:dyDescent="0.25">
      <c r="A878" s="984" t="s">
        <v>567</v>
      </c>
      <c r="B878" s="984" t="s">
        <v>569</v>
      </c>
      <c r="C878" s="986"/>
      <c r="D878" s="986"/>
      <c r="E878" s="987"/>
      <c r="F878" s="1001"/>
      <c r="G878" s="1002">
        <f>SUM(G876:G877)</f>
        <v>404828.75</v>
      </c>
      <c r="I878" s="1370">
        <v>0.7</v>
      </c>
      <c r="J878" t="s">
        <v>1108</v>
      </c>
      <c r="K878" t="s">
        <v>1108</v>
      </c>
      <c r="L878" t="s">
        <v>1108</v>
      </c>
      <c r="M878" t="s">
        <v>1131</v>
      </c>
      <c r="P878" t="s">
        <v>1108</v>
      </c>
    </row>
    <row r="879" spans="1:16" x14ac:dyDescent="0.25">
      <c r="I879" s="1370">
        <v>0.35</v>
      </c>
      <c r="J879" t="s">
        <v>1108</v>
      </c>
      <c r="K879" t="s">
        <v>1108</v>
      </c>
      <c r="L879" t="s">
        <v>1108</v>
      </c>
      <c r="M879" t="s">
        <v>1108</v>
      </c>
      <c r="N879" t="s">
        <v>1108</v>
      </c>
      <c r="P879" t="s">
        <v>1108</v>
      </c>
    </row>
    <row r="880" spans="1:16" x14ac:dyDescent="0.25">
      <c r="A880" s="356" t="s">
        <v>1141</v>
      </c>
      <c r="I880" s="1370">
        <v>3.5000000000000003E-2</v>
      </c>
    </row>
    <row r="881" spans="1:16" ht="30.75" customHeight="1" x14ac:dyDescent="0.25">
      <c r="A881" s="1395" t="s">
        <v>146</v>
      </c>
      <c r="B881" s="1396" t="s">
        <v>550</v>
      </c>
      <c r="C881" s="1396" t="s">
        <v>551</v>
      </c>
      <c r="D881" s="1396" t="s">
        <v>552</v>
      </c>
      <c r="E881" s="1396" t="s">
        <v>553</v>
      </c>
      <c r="F881" s="1400" t="s">
        <v>554</v>
      </c>
      <c r="G881" s="1400" t="s">
        <v>555</v>
      </c>
      <c r="I881" s="1371">
        <v>3.5000000000000003E-2</v>
      </c>
      <c r="J881" t="s">
        <v>1132</v>
      </c>
      <c r="P881" t="s">
        <v>1108</v>
      </c>
    </row>
    <row r="882" spans="1:16" x14ac:dyDescent="0.25">
      <c r="A882" s="1401" t="s">
        <v>1176</v>
      </c>
      <c r="B882" s="1402" t="s">
        <v>1177</v>
      </c>
      <c r="C882" s="1403" t="s">
        <v>1108</v>
      </c>
      <c r="D882" s="1403" t="s">
        <v>1108</v>
      </c>
      <c r="E882" s="1403" t="s">
        <v>1108</v>
      </c>
      <c r="F882" s="1404" t="s">
        <v>1108</v>
      </c>
      <c r="G882" s="1405" t="s">
        <v>1108</v>
      </c>
      <c r="I882" t="s">
        <v>1133</v>
      </c>
      <c r="J882" t="s">
        <v>1134</v>
      </c>
      <c r="M882" t="s">
        <v>1135</v>
      </c>
      <c r="P882" t="s">
        <v>1108</v>
      </c>
    </row>
    <row r="883" spans="1:16" x14ac:dyDescent="0.25">
      <c r="A883" s="1406" t="s">
        <v>1108</v>
      </c>
      <c r="B883" s="1407" t="s">
        <v>1178</v>
      </c>
      <c r="C883" s="1408" t="s">
        <v>1179</v>
      </c>
      <c r="D883" s="1408" t="s">
        <v>1180</v>
      </c>
      <c r="E883" s="1408">
        <v>0.7</v>
      </c>
      <c r="F883" s="1409">
        <f>F863</f>
        <v>110000</v>
      </c>
      <c r="G883" s="1410">
        <f>E883*F883</f>
        <v>77000</v>
      </c>
      <c r="I883" t="s">
        <v>1136</v>
      </c>
      <c r="J883" t="s">
        <v>1137</v>
      </c>
      <c r="P883" t="s">
        <v>1108</v>
      </c>
    </row>
    <row r="884" spans="1:16" x14ac:dyDescent="0.25">
      <c r="A884" s="1406" t="s">
        <v>1108</v>
      </c>
      <c r="B884" s="1407" t="s">
        <v>1181</v>
      </c>
      <c r="C884" s="1408" t="s">
        <v>1182</v>
      </c>
      <c r="D884" s="1408" t="s">
        <v>1180</v>
      </c>
      <c r="E884" s="1408">
        <v>0.35</v>
      </c>
      <c r="F884" s="1409">
        <f>F864</f>
        <v>153000</v>
      </c>
      <c r="G884" s="1410">
        <f>E884*F884</f>
        <v>53550</v>
      </c>
    </row>
    <row r="885" spans="1:16" x14ac:dyDescent="0.25">
      <c r="A885" s="1406" t="s">
        <v>1108</v>
      </c>
      <c r="B885" s="1407" t="s">
        <v>1183</v>
      </c>
      <c r="C885" s="1408" t="s">
        <v>1184</v>
      </c>
      <c r="D885" s="1408" t="s">
        <v>1180</v>
      </c>
      <c r="E885" s="1408">
        <v>3.5000000000000003E-2</v>
      </c>
      <c r="F885" s="1409">
        <f>F865</f>
        <v>170000</v>
      </c>
      <c r="G885" s="1410">
        <f>E885*F885</f>
        <v>5950.0000000000009</v>
      </c>
    </row>
    <row r="886" spans="1:16" x14ac:dyDescent="0.25">
      <c r="A886" s="1411" t="s">
        <v>1108</v>
      </c>
      <c r="B886" s="1412" t="s">
        <v>1185</v>
      </c>
      <c r="C886" s="1413" t="s">
        <v>1186</v>
      </c>
      <c r="D886" s="1413" t="s">
        <v>1180</v>
      </c>
      <c r="E886" s="1413">
        <v>3.5000000000000003E-2</v>
      </c>
      <c r="F886" s="1409">
        <f>F866</f>
        <v>150000</v>
      </c>
      <c r="G886" s="1410">
        <f>E886*F886</f>
        <v>5250.0000000000009</v>
      </c>
    </row>
    <row r="887" spans="1:16" ht="15.75" customHeight="1" x14ac:dyDescent="0.25">
      <c r="A887" s="1414" t="s">
        <v>1108</v>
      </c>
      <c r="B887" s="1415" t="s">
        <v>1108</v>
      </c>
      <c r="C887" s="1415" t="s">
        <v>1108</v>
      </c>
      <c r="D887" s="1415" t="s">
        <v>1108</v>
      </c>
      <c r="E887" s="1416" t="s">
        <v>1187</v>
      </c>
      <c r="F887" s="1416"/>
      <c r="G887" s="1417">
        <f>SUM(G883:G886)</f>
        <v>141750</v>
      </c>
    </row>
    <row r="888" spans="1:16" x14ac:dyDescent="0.25">
      <c r="A888" s="1401" t="s">
        <v>1188</v>
      </c>
      <c r="B888" s="1402" t="s">
        <v>1189</v>
      </c>
      <c r="C888" s="1403" t="s">
        <v>1108</v>
      </c>
      <c r="D888" s="1403" t="s">
        <v>1108</v>
      </c>
      <c r="E888" s="1403" t="s">
        <v>1108</v>
      </c>
      <c r="F888" s="1404" t="s">
        <v>1108</v>
      </c>
      <c r="G888" s="1405" t="s">
        <v>1108</v>
      </c>
    </row>
    <row r="889" spans="1:16" x14ac:dyDescent="0.25">
      <c r="A889" s="1406" t="s">
        <v>1108</v>
      </c>
      <c r="B889" s="1418" t="s">
        <v>1142</v>
      </c>
      <c r="C889" s="1419" t="s">
        <v>1108</v>
      </c>
      <c r="D889" s="1408" t="s">
        <v>1190</v>
      </c>
      <c r="E889" s="1408">
        <v>1.05</v>
      </c>
      <c r="F889" s="1409">
        <f>'UPah &amp; Bahan oke'!H83</f>
        <v>115000</v>
      </c>
      <c r="G889" s="1410">
        <f>E889*F889</f>
        <v>120750</v>
      </c>
    </row>
    <row r="890" spans="1:16" x14ac:dyDescent="0.25">
      <c r="A890" s="1406" t="s">
        <v>1108</v>
      </c>
      <c r="B890" s="1407" t="s">
        <v>1191</v>
      </c>
      <c r="C890" s="1419" t="s">
        <v>1108</v>
      </c>
      <c r="D890" s="1408" t="s">
        <v>1192</v>
      </c>
      <c r="E890" s="1408">
        <v>10.4</v>
      </c>
      <c r="F890" s="1409">
        <f>F870</f>
        <v>1687.5</v>
      </c>
      <c r="G890" s="1410">
        <f>E890*F890</f>
        <v>17550</v>
      </c>
    </row>
    <row r="891" spans="1:16" x14ac:dyDescent="0.25">
      <c r="A891" s="1406" t="s">
        <v>1108</v>
      </c>
      <c r="B891" s="1407" t="s">
        <v>1193</v>
      </c>
      <c r="C891" s="1419" t="s">
        <v>1108</v>
      </c>
      <c r="D891" s="1420" t="s">
        <v>1194</v>
      </c>
      <c r="E891" s="1408">
        <v>4.4999999999999998E-2</v>
      </c>
      <c r="F891" s="1409">
        <f>F872</f>
        <v>185000</v>
      </c>
      <c r="G891" s="1410">
        <f>E891*F891</f>
        <v>8325</v>
      </c>
    </row>
    <row r="892" spans="1:16" x14ac:dyDescent="0.25">
      <c r="A892" s="1411" t="s">
        <v>1108</v>
      </c>
      <c r="B892" s="1412" t="s">
        <v>1195</v>
      </c>
      <c r="C892" s="1421" t="s">
        <v>1108</v>
      </c>
      <c r="D892" s="1413" t="s">
        <v>1192</v>
      </c>
      <c r="E892" s="1413">
        <v>0.5</v>
      </c>
      <c r="F892" s="1422">
        <f>F871</f>
        <v>5000</v>
      </c>
      <c r="G892" s="1410">
        <f>E892*F892</f>
        <v>2500</v>
      </c>
    </row>
    <row r="893" spans="1:16" ht="15.75" customHeight="1" x14ac:dyDescent="0.25">
      <c r="A893" s="1414" t="s">
        <v>1108</v>
      </c>
      <c r="B893" s="1415" t="s">
        <v>1108</v>
      </c>
      <c r="C893" s="1415" t="s">
        <v>1108</v>
      </c>
      <c r="D893" s="1415" t="s">
        <v>1108</v>
      </c>
      <c r="E893" s="1416" t="s">
        <v>1196</v>
      </c>
      <c r="F893" s="1423"/>
      <c r="G893" s="1424">
        <f>SUM(G889:G892)</f>
        <v>149125</v>
      </c>
    </row>
    <row r="894" spans="1:16" x14ac:dyDescent="0.25">
      <c r="A894" s="1401" t="s">
        <v>1197</v>
      </c>
      <c r="B894" s="1402" t="s">
        <v>1198</v>
      </c>
      <c r="C894" s="1403" t="s">
        <v>1108</v>
      </c>
      <c r="D894" s="1403" t="s">
        <v>1108</v>
      </c>
      <c r="E894" s="1403" t="s">
        <v>1108</v>
      </c>
      <c r="F894" s="1404" t="s">
        <v>1108</v>
      </c>
      <c r="G894" s="1405" t="s">
        <v>1108</v>
      </c>
    </row>
    <row r="895" spans="1:16" x14ac:dyDescent="0.25">
      <c r="A895" s="1411" t="s">
        <v>1108</v>
      </c>
      <c r="B895" s="1421" t="s">
        <v>1108</v>
      </c>
      <c r="C895" s="1421" t="s">
        <v>1108</v>
      </c>
      <c r="D895" s="1421" t="s">
        <v>1108</v>
      </c>
      <c r="E895" s="1421" t="s">
        <v>1108</v>
      </c>
      <c r="F895" s="1425" t="s">
        <v>1108</v>
      </c>
      <c r="G895" s="1411" t="s">
        <v>1108</v>
      </c>
    </row>
    <row r="896" spans="1:16" ht="15.75" customHeight="1" x14ac:dyDescent="0.25">
      <c r="A896" s="1414" t="s">
        <v>1108</v>
      </c>
      <c r="B896" s="1415" t="s">
        <v>1108</v>
      </c>
      <c r="C896" s="1415" t="s">
        <v>1108</v>
      </c>
      <c r="D896" s="1415" t="s">
        <v>1108</v>
      </c>
      <c r="E896" s="1416" t="s">
        <v>1199</v>
      </c>
      <c r="F896" s="1416"/>
      <c r="G896" s="1414" t="s">
        <v>1108</v>
      </c>
    </row>
    <row r="897" spans="1:16" x14ac:dyDescent="0.25">
      <c r="A897" s="1414" t="s">
        <v>1108</v>
      </c>
      <c r="B897" s="1415" t="s">
        <v>1108</v>
      </c>
      <c r="C897" s="1415" t="s">
        <v>1108</v>
      </c>
      <c r="D897" s="1415" t="s">
        <v>1108</v>
      </c>
      <c r="E897" s="1415" t="s">
        <v>1108</v>
      </c>
      <c r="F897" s="1426" t="s">
        <v>1108</v>
      </c>
      <c r="G897" s="1414" t="s">
        <v>1108</v>
      </c>
    </row>
    <row r="898" spans="1:16" x14ac:dyDescent="0.25">
      <c r="A898" s="1427" t="s">
        <v>1200</v>
      </c>
      <c r="B898" s="1416" t="s">
        <v>1201</v>
      </c>
      <c r="C898" s="1416"/>
      <c r="D898" s="1416"/>
      <c r="E898" s="1416"/>
      <c r="F898" s="1416"/>
      <c r="G898" s="989">
        <f>SUM(G887+G893)</f>
        <v>290875</v>
      </c>
    </row>
    <row r="899" spans="1:16" ht="15.75" customHeight="1" x14ac:dyDescent="0.25">
      <c r="A899" s="1427" t="s">
        <v>1202</v>
      </c>
      <c r="B899" s="1416" t="s">
        <v>1203</v>
      </c>
      <c r="C899" s="1416"/>
      <c r="D899" s="1416"/>
      <c r="E899" s="1416" t="s">
        <v>1204</v>
      </c>
      <c r="F899" s="1416"/>
      <c r="G899" s="989">
        <f>G898*0.15</f>
        <v>43631.25</v>
      </c>
    </row>
    <row r="900" spans="1:16" ht="15.75" customHeight="1" x14ac:dyDescent="0.25">
      <c r="A900" s="1427" t="s">
        <v>1205</v>
      </c>
      <c r="B900" s="1416" t="s">
        <v>1206</v>
      </c>
      <c r="C900" s="1416"/>
      <c r="D900" s="1416"/>
      <c r="E900" s="1416"/>
      <c r="F900" s="1416"/>
      <c r="G900" s="1002">
        <f>SUM(G898:G899)</f>
        <v>334506.25</v>
      </c>
    </row>
    <row r="902" spans="1:16" x14ac:dyDescent="0.25">
      <c r="A902" s="356" t="s">
        <v>1222</v>
      </c>
      <c r="I902" s="1370">
        <v>3.5000000000000003E-2</v>
      </c>
    </row>
    <row r="903" spans="1:16" ht="30.75" customHeight="1" x14ac:dyDescent="0.25">
      <c r="A903" s="1395" t="s">
        <v>146</v>
      </c>
      <c r="B903" s="1396" t="s">
        <v>550</v>
      </c>
      <c r="C903" s="1396" t="s">
        <v>551</v>
      </c>
      <c r="D903" s="1396" t="s">
        <v>552</v>
      </c>
      <c r="E903" s="1396" t="s">
        <v>553</v>
      </c>
      <c r="F903" s="1400" t="s">
        <v>554</v>
      </c>
      <c r="G903" s="1400" t="s">
        <v>555</v>
      </c>
      <c r="I903" s="1371">
        <v>3.5000000000000003E-2</v>
      </c>
      <c r="J903" t="s">
        <v>1132</v>
      </c>
      <c r="P903" t="s">
        <v>1108</v>
      </c>
    </row>
    <row r="904" spans="1:16" x14ac:dyDescent="0.25">
      <c r="A904" s="1401" t="s">
        <v>1176</v>
      </c>
      <c r="B904" s="1402" t="s">
        <v>1177</v>
      </c>
      <c r="C904" s="1403" t="s">
        <v>1108</v>
      </c>
      <c r="D904" s="1403" t="s">
        <v>1108</v>
      </c>
      <c r="E904" s="1403" t="s">
        <v>1108</v>
      </c>
      <c r="F904" s="1404" t="s">
        <v>1108</v>
      </c>
      <c r="G904" s="1405" t="s">
        <v>1108</v>
      </c>
      <c r="I904" t="s">
        <v>1133</v>
      </c>
      <c r="J904" t="s">
        <v>1134</v>
      </c>
      <c r="M904" t="s">
        <v>1135</v>
      </c>
      <c r="P904" t="s">
        <v>1108</v>
      </c>
    </row>
    <row r="905" spans="1:16" x14ac:dyDescent="0.25">
      <c r="A905" s="1406" t="s">
        <v>1108</v>
      </c>
      <c r="B905" s="1407" t="s">
        <v>1178</v>
      </c>
      <c r="C905" s="1408" t="s">
        <v>1179</v>
      </c>
      <c r="D905" s="1408" t="s">
        <v>1180</v>
      </c>
      <c r="E905" s="1437">
        <v>0.9</v>
      </c>
      <c r="F905" s="1409">
        <f>F883</f>
        <v>110000</v>
      </c>
      <c r="G905" s="1410">
        <f>E905*F905</f>
        <v>99000</v>
      </c>
      <c r="I905" t="s">
        <v>1136</v>
      </c>
      <c r="J905" t="s">
        <v>1137</v>
      </c>
      <c r="P905" t="s">
        <v>1108</v>
      </c>
    </row>
    <row r="906" spans="1:16" x14ac:dyDescent="0.25">
      <c r="A906" s="1406" t="s">
        <v>1108</v>
      </c>
      <c r="B906" s="1407" t="s">
        <v>1181</v>
      </c>
      <c r="C906" s="1408" t="s">
        <v>1182</v>
      </c>
      <c r="D906" s="1408" t="s">
        <v>1180</v>
      </c>
      <c r="E906" s="1437">
        <v>0.45</v>
      </c>
      <c r="F906" s="1409">
        <f t="shared" ref="F906:F908" si="5">F884</f>
        <v>153000</v>
      </c>
      <c r="G906" s="1410">
        <f>E906*F906</f>
        <v>68850</v>
      </c>
    </row>
    <row r="907" spans="1:16" x14ac:dyDescent="0.25">
      <c r="A907" s="1406" t="s">
        <v>1108</v>
      </c>
      <c r="B907" s="1407" t="s">
        <v>1183</v>
      </c>
      <c r="C907" s="1408" t="s">
        <v>1184</v>
      </c>
      <c r="D907" s="1408" t="s">
        <v>1180</v>
      </c>
      <c r="E907" s="1437">
        <v>4.4999999999999998E-2</v>
      </c>
      <c r="F907" s="1409">
        <f t="shared" si="5"/>
        <v>170000</v>
      </c>
      <c r="G907" s="1410">
        <f>E907*F907</f>
        <v>7650</v>
      </c>
    </row>
    <row r="908" spans="1:16" x14ac:dyDescent="0.25">
      <c r="A908" s="1411" t="s">
        <v>1108</v>
      </c>
      <c r="B908" s="1412" t="s">
        <v>1185</v>
      </c>
      <c r="C908" s="1413" t="s">
        <v>1186</v>
      </c>
      <c r="D908" s="1413" t="s">
        <v>1180</v>
      </c>
      <c r="E908" s="1438">
        <v>4.4999999999999998E-2</v>
      </c>
      <c r="F908" s="1409">
        <f t="shared" si="5"/>
        <v>150000</v>
      </c>
      <c r="G908" s="1410">
        <f>E908*F908</f>
        <v>6750</v>
      </c>
    </row>
    <row r="909" spans="1:16" ht="15.75" customHeight="1" x14ac:dyDescent="0.25">
      <c r="A909" s="1414" t="s">
        <v>1108</v>
      </c>
      <c r="B909" s="1415" t="s">
        <v>1108</v>
      </c>
      <c r="C909" s="1415" t="s">
        <v>1108</v>
      </c>
      <c r="D909" s="1415" t="s">
        <v>1108</v>
      </c>
      <c r="E909" s="1416" t="s">
        <v>1187</v>
      </c>
      <c r="F909" s="1416"/>
      <c r="G909" s="1417">
        <f>SUM(G905:G908)</f>
        <v>182250</v>
      </c>
    </row>
    <row r="910" spans="1:16" x14ac:dyDescent="0.25">
      <c r="A910" s="1401" t="s">
        <v>1188</v>
      </c>
      <c r="B910" s="1402" t="s">
        <v>1189</v>
      </c>
      <c r="C910" s="1403" t="s">
        <v>1108</v>
      </c>
      <c r="D910" s="1403" t="s">
        <v>1108</v>
      </c>
      <c r="E910" s="1403" t="s">
        <v>1108</v>
      </c>
      <c r="F910" s="1404" t="s">
        <v>1108</v>
      </c>
      <c r="G910" s="1405" t="s">
        <v>1108</v>
      </c>
    </row>
    <row r="911" spans="1:16" x14ac:dyDescent="0.25">
      <c r="A911" s="1406" t="s">
        <v>1108</v>
      </c>
      <c r="B911" s="1418" t="s">
        <v>1142</v>
      </c>
      <c r="C911" s="1419" t="s">
        <v>1108</v>
      </c>
      <c r="D911" s="1420" t="s">
        <v>308</v>
      </c>
      <c r="E911" s="1408">
        <v>20</v>
      </c>
      <c r="F911" s="1409">
        <f>'UPah &amp; Bahan oke'!H84/20</f>
        <v>6500</v>
      </c>
      <c r="G911" s="1410">
        <f>E911*F911</f>
        <v>130000</v>
      </c>
    </row>
    <row r="912" spans="1:16" x14ac:dyDescent="0.25">
      <c r="A912" s="1406" t="s">
        <v>1108</v>
      </c>
      <c r="B912" s="1407" t="s">
        <v>1191</v>
      </c>
      <c r="C912" s="1419" t="s">
        <v>1108</v>
      </c>
      <c r="D912" s="1435" t="s">
        <v>12</v>
      </c>
      <c r="E912" s="1408">
        <v>10.4</v>
      </c>
      <c r="F912" s="1409">
        <f>F890</f>
        <v>1687.5</v>
      </c>
      <c r="G912" s="1410">
        <f>E912*F912</f>
        <v>17550</v>
      </c>
    </row>
    <row r="913" spans="1:7" x14ac:dyDescent="0.25">
      <c r="A913" s="1406" t="s">
        <v>1108</v>
      </c>
      <c r="B913" s="1407" t="s">
        <v>1193</v>
      </c>
      <c r="C913" s="1419" t="s">
        <v>1108</v>
      </c>
      <c r="D913" s="1420" t="s">
        <v>1194</v>
      </c>
      <c r="E913" s="1408">
        <v>4.4999999999999998E-2</v>
      </c>
      <c r="F913" s="1409">
        <f>F891</f>
        <v>185000</v>
      </c>
      <c r="G913" s="1410">
        <f>E913*F913</f>
        <v>8325</v>
      </c>
    </row>
    <row r="914" spans="1:7" x14ac:dyDescent="0.25">
      <c r="A914" s="1411" t="s">
        <v>1108</v>
      </c>
      <c r="B914" s="1412" t="s">
        <v>1195</v>
      </c>
      <c r="C914" s="1421" t="s">
        <v>1108</v>
      </c>
      <c r="D914" s="1436" t="s">
        <v>12</v>
      </c>
      <c r="E914" s="1413">
        <v>1.62</v>
      </c>
      <c r="F914" s="1422">
        <f>F892</f>
        <v>5000</v>
      </c>
      <c r="G914" s="1410">
        <f>E914*F914</f>
        <v>8100.0000000000009</v>
      </c>
    </row>
    <row r="915" spans="1:7" ht="15.75" customHeight="1" x14ac:dyDescent="0.25">
      <c r="A915" s="1414" t="s">
        <v>1108</v>
      </c>
      <c r="B915" s="1415" t="s">
        <v>1108</v>
      </c>
      <c r="C915" s="1415" t="s">
        <v>1108</v>
      </c>
      <c r="D915" s="1415" t="s">
        <v>1108</v>
      </c>
      <c r="E915" s="1416" t="s">
        <v>1196</v>
      </c>
      <c r="F915" s="1423"/>
      <c r="G915" s="1424">
        <f>SUM(G911:G914)</f>
        <v>163975</v>
      </c>
    </row>
    <row r="916" spans="1:7" x14ac:dyDescent="0.25">
      <c r="A916" s="1401" t="s">
        <v>1197</v>
      </c>
      <c r="B916" s="1402" t="s">
        <v>1198</v>
      </c>
      <c r="C916" s="1403" t="s">
        <v>1108</v>
      </c>
      <c r="D916" s="1403" t="s">
        <v>1108</v>
      </c>
      <c r="E916" s="1403" t="s">
        <v>1108</v>
      </c>
      <c r="F916" s="1404" t="s">
        <v>1108</v>
      </c>
      <c r="G916" s="1405" t="s">
        <v>1108</v>
      </c>
    </row>
    <row r="917" spans="1:7" x14ac:dyDescent="0.25">
      <c r="A917" s="1411" t="s">
        <v>1108</v>
      </c>
      <c r="B917" s="1421" t="s">
        <v>1108</v>
      </c>
      <c r="C917" s="1421" t="s">
        <v>1108</v>
      </c>
      <c r="D917" s="1421" t="s">
        <v>1108</v>
      </c>
      <c r="E917" s="1421" t="s">
        <v>1108</v>
      </c>
      <c r="F917" s="1425" t="s">
        <v>1108</v>
      </c>
      <c r="G917" s="1411" t="s">
        <v>1108</v>
      </c>
    </row>
    <row r="918" spans="1:7" ht="15.75" customHeight="1" x14ac:dyDescent="0.25">
      <c r="A918" s="1414" t="s">
        <v>1108</v>
      </c>
      <c r="B918" s="1415" t="s">
        <v>1108</v>
      </c>
      <c r="C918" s="1415" t="s">
        <v>1108</v>
      </c>
      <c r="D918" s="1415" t="s">
        <v>1108</v>
      </c>
      <c r="E918" s="1416" t="s">
        <v>1199</v>
      </c>
      <c r="F918" s="1416"/>
      <c r="G918" s="1414" t="s">
        <v>1108</v>
      </c>
    </row>
    <row r="919" spans="1:7" x14ac:dyDescent="0.25">
      <c r="A919" s="1414" t="s">
        <v>1108</v>
      </c>
      <c r="B919" s="1415" t="s">
        <v>1108</v>
      </c>
      <c r="C919" s="1415" t="s">
        <v>1108</v>
      </c>
      <c r="D919" s="1415" t="s">
        <v>1108</v>
      </c>
      <c r="E919" s="1415" t="s">
        <v>1108</v>
      </c>
      <c r="F919" s="1426" t="s">
        <v>1108</v>
      </c>
      <c r="G919" s="1414" t="s">
        <v>1108</v>
      </c>
    </row>
    <row r="920" spans="1:7" x14ac:dyDescent="0.25">
      <c r="A920" s="1427" t="s">
        <v>1200</v>
      </c>
      <c r="B920" s="1416" t="s">
        <v>1201</v>
      </c>
      <c r="C920" s="1416"/>
      <c r="D920" s="1416"/>
      <c r="E920" s="1416"/>
      <c r="F920" s="1416"/>
      <c r="G920" s="989">
        <f>SUM(G909+G915)</f>
        <v>346225</v>
      </c>
    </row>
    <row r="921" spans="1:7" ht="15.75" customHeight="1" x14ac:dyDescent="0.25">
      <c r="A921" s="1427" t="s">
        <v>1202</v>
      </c>
      <c r="B921" s="1416" t="s">
        <v>1203</v>
      </c>
      <c r="C921" s="1416"/>
      <c r="D921" s="1416"/>
      <c r="E921" s="1416" t="s">
        <v>1204</v>
      </c>
      <c r="F921" s="1416"/>
      <c r="G921" s="989">
        <f>G920*0.15</f>
        <v>51933.75</v>
      </c>
    </row>
    <row r="922" spans="1:7" ht="15.75" customHeight="1" x14ac:dyDescent="0.25">
      <c r="A922" s="1427" t="s">
        <v>1205</v>
      </c>
      <c r="B922" s="1416" t="s">
        <v>1206</v>
      </c>
      <c r="C922" s="1416"/>
      <c r="D922" s="1416"/>
      <c r="E922" s="1416"/>
      <c r="F922" s="1416"/>
      <c r="G922" s="1002">
        <f>SUM(G920:G921)</f>
        <v>398158.75</v>
      </c>
    </row>
    <row r="925" spans="1:7" x14ac:dyDescent="0.25">
      <c r="A925" s="356" t="s">
        <v>1252</v>
      </c>
    </row>
    <row r="926" spans="1:7" x14ac:dyDescent="0.25">
      <c r="A926" s="1395" t="s">
        <v>146</v>
      </c>
      <c r="B926" s="1396" t="s">
        <v>550</v>
      </c>
      <c r="C926" s="1396" t="s">
        <v>551</v>
      </c>
      <c r="D926" s="1396" t="s">
        <v>552</v>
      </c>
      <c r="E926" s="1396" t="s">
        <v>553</v>
      </c>
      <c r="F926" s="1400" t="s">
        <v>554</v>
      </c>
      <c r="G926" s="1400" t="s">
        <v>555</v>
      </c>
    </row>
    <row r="927" spans="1:7" x14ac:dyDescent="0.25">
      <c r="A927" s="1401" t="s">
        <v>1176</v>
      </c>
      <c r="B927" s="1402" t="s">
        <v>1177</v>
      </c>
      <c r="C927" s="1403" t="s">
        <v>1108</v>
      </c>
      <c r="D927" s="1403" t="s">
        <v>1108</v>
      </c>
      <c r="E927" s="1403" t="s">
        <v>1108</v>
      </c>
      <c r="F927" s="1404" t="s">
        <v>1108</v>
      </c>
      <c r="G927" s="1405" t="s">
        <v>1108</v>
      </c>
    </row>
    <row r="928" spans="1:7" x14ac:dyDescent="0.25">
      <c r="A928" s="1406" t="s">
        <v>1108</v>
      </c>
      <c r="B928" s="1407" t="s">
        <v>1178</v>
      </c>
      <c r="C928" s="1408" t="s">
        <v>1179</v>
      </c>
      <c r="D928" s="1408" t="s">
        <v>1180</v>
      </c>
      <c r="E928" s="1408">
        <v>0.35</v>
      </c>
      <c r="F928" s="1409">
        <f>F883</f>
        <v>110000</v>
      </c>
      <c r="G928" s="1410">
        <f>E928*F928</f>
        <v>38500</v>
      </c>
    </row>
    <row r="929" spans="1:7" x14ac:dyDescent="0.25">
      <c r="A929" s="1406" t="s">
        <v>1108</v>
      </c>
      <c r="B929" s="1407" t="s">
        <v>1231</v>
      </c>
      <c r="C929" s="1408" t="s">
        <v>1182</v>
      </c>
      <c r="D929" s="1408" t="s">
        <v>1180</v>
      </c>
      <c r="E929" s="1408">
        <v>0.35</v>
      </c>
      <c r="F929" s="1409">
        <f t="shared" ref="F929:F931" si="6">F884</f>
        <v>153000</v>
      </c>
      <c r="G929" s="1410">
        <f>E929*F929</f>
        <v>53550</v>
      </c>
    </row>
    <row r="930" spans="1:7" x14ac:dyDescent="0.25">
      <c r="A930" s="1406" t="s">
        <v>1108</v>
      </c>
      <c r="B930" s="1407" t="s">
        <v>1183</v>
      </c>
      <c r="C930" s="1408" t="s">
        <v>1184</v>
      </c>
      <c r="D930" s="1408" t="s">
        <v>1180</v>
      </c>
      <c r="E930" s="1408">
        <v>3.5000000000000003E-2</v>
      </c>
      <c r="F930" s="1409">
        <f t="shared" si="6"/>
        <v>170000</v>
      </c>
      <c r="G930" s="1410">
        <f>E930*F930</f>
        <v>5950.0000000000009</v>
      </c>
    </row>
    <row r="931" spans="1:7" x14ac:dyDescent="0.25">
      <c r="A931" s="1411" t="s">
        <v>1108</v>
      </c>
      <c r="B931" s="1412" t="s">
        <v>1185</v>
      </c>
      <c r="C931" s="1413" t="s">
        <v>1186</v>
      </c>
      <c r="D931" s="1413" t="s">
        <v>1180</v>
      </c>
      <c r="E931" s="1413">
        <v>1.7999999999999999E-2</v>
      </c>
      <c r="F931" s="1409">
        <f t="shared" si="6"/>
        <v>150000</v>
      </c>
      <c r="G931" s="1410">
        <f>E931*F931</f>
        <v>2700</v>
      </c>
    </row>
    <row r="932" spans="1:7" x14ac:dyDescent="0.25">
      <c r="A932" s="1414" t="s">
        <v>1108</v>
      </c>
      <c r="B932" s="1415" t="s">
        <v>1108</v>
      </c>
      <c r="C932" s="1415" t="s">
        <v>1108</v>
      </c>
      <c r="D932" s="1415" t="s">
        <v>1108</v>
      </c>
      <c r="E932" s="1416" t="s">
        <v>1187</v>
      </c>
      <c r="F932" s="1416"/>
      <c r="G932" s="1417">
        <f>SUM(G928:G931)</f>
        <v>100700</v>
      </c>
    </row>
    <row r="933" spans="1:7" x14ac:dyDescent="0.25">
      <c r="A933" s="1401" t="s">
        <v>1188</v>
      </c>
      <c r="B933" s="1402" t="s">
        <v>1189</v>
      </c>
      <c r="C933" s="1403" t="s">
        <v>1108</v>
      </c>
      <c r="D933" s="1403" t="s">
        <v>1108</v>
      </c>
      <c r="E933" s="1403" t="s">
        <v>1108</v>
      </c>
      <c r="F933" s="1404" t="s">
        <v>1108</v>
      </c>
      <c r="G933" s="1405" t="s">
        <v>1108</v>
      </c>
    </row>
    <row r="934" spans="1:7" x14ac:dyDescent="0.25">
      <c r="A934" s="1406" t="s">
        <v>1108</v>
      </c>
      <c r="B934" s="1418" t="s">
        <v>1214</v>
      </c>
      <c r="C934" s="1419" t="s">
        <v>1108</v>
      </c>
      <c r="D934" s="1408" t="s">
        <v>1216</v>
      </c>
      <c r="E934" s="1408">
        <v>4</v>
      </c>
      <c r="F934" s="1409">
        <f>195000/4</f>
        <v>48750</v>
      </c>
      <c r="G934" s="1410">
        <f>E934*F934</f>
        <v>195000</v>
      </c>
    </row>
    <row r="935" spans="1:7" x14ac:dyDescent="0.25">
      <c r="A935" s="1406" t="s">
        <v>1108</v>
      </c>
      <c r="B935" s="1407" t="s">
        <v>1253</v>
      </c>
      <c r="C935" s="1419" t="s">
        <v>1108</v>
      </c>
      <c r="D935" s="1408" t="s">
        <v>132</v>
      </c>
      <c r="E935" s="1408" t="s">
        <v>1215</v>
      </c>
      <c r="F935" s="1409">
        <f>G934</f>
        <v>195000</v>
      </c>
      <c r="G935" s="1410">
        <f>F935</f>
        <v>195000</v>
      </c>
    </row>
    <row r="936" spans="1:7" x14ac:dyDescent="0.25">
      <c r="A936" s="1411" t="s">
        <v>1108</v>
      </c>
      <c r="B936" s="1412"/>
      <c r="C936" s="1421"/>
      <c r="D936" s="1413"/>
      <c r="E936" s="1413"/>
      <c r="F936" s="1422"/>
      <c r="G936" s="1410"/>
    </row>
    <row r="937" spans="1:7" x14ac:dyDescent="0.25">
      <c r="A937" s="1414" t="s">
        <v>1108</v>
      </c>
      <c r="B937" s="1415" t="s">
        <v>1108</v>
      </c>
      <c r="C937" s="1415" t="s">
        <v>1108</v>
      </c>
      <c r="D937" s="1415" t="s">
        <v>1108</v>
      </c>
      <c r="E937" s="1416" t="s">
        <v>1196</v>
      </c>
      <c r="F937" s="1423"/>
      <c r="G937" s="1424">
        <f>SUM(G934:G936)</f>
        <v>390000</v>
      </c>
    </row>
    <row r="938" spans="1:7" x14ac:dyDescent="0.25">
      <c r="A938" s="1401" t="s">
        <v>1197</v>
      </c>
      <c r="B938" s="1402" t="s">
        <v>1198</v>
      </c>
      <c r="C938" s="1403" t="s">
        <v>1108</v>
      </c>
      <c r="D938" s="1403" t="s">
        <v>1108</v>
      </c>
      <c r="E938" s="1403" t="s">
        <v>1108</v>
      </c>
      <c r="F938" s="1404" t="s">
        <v>1108</v>
      </c>
      <c r="G938" s="1405" t="s">
        <v>1108</v>
      </c>
    </row>
    <row r="939" spans="1:7" x14ac:dyDescent="0.25">
      <c r="A939" s="1411" t="s">
        <v>1108</v>
      </c>
      <c r="B939" s="1421" t="s">
        <v>1108</v>
      </c>
      <c r="C939" s="1421" t="s">
        <v>1108</v>
      </c>
      <c r="D939" s="1421" t="s">
        <v>1108</v>
      </c>
      <c r="E939" s="1421" t="s">
        <v>1108</v>
      </c>
      <c r="F939" s="1425" t="s">
        <v>1108</v>
      </c>
      <c r="G939" s="1411" t="s">
        <v>1108</v>
      </c>
    </row>
    <row r="940" spans="1:7" x14ac:dyDescent="0.25">
      <c r="A940" s="1414" t="s">
        <v>1108</v>
      </c>
      <c r="B940" s="1415" t="s">
        <v>1108</v>
      </c>
      <c r="C940" s="1415" t="s">
        <v>1108</v>
      </c>
      <c r="D940" s="1415" t="s">
        <v>1108</v>
      </c>
      <c r="E940" s="1416" t="s">
        <v>1199</v>
      </c>
      <c r="F940" s="1416"/>
      <c r="G940" s="1414" t="s">
        <v>1108</v>
      </c>
    </row>
    <row r="941" spans="1:7" x14ac:dyDescent="0.25">
      <c r="A941" s="1414" t="s">
        <v>1108</v>
      </c>
      <c r="B941" s="1415" t="s">
        <v>1108</v>
      </c>
      <c r="C941" s="1415" t="s">
        <v>1108</v>
      </c>
      <c r="D941" s="1415" t="s">
        <v>1108</v>
      </c>
      <c r="E941" s="1415" t="s">
        <v>1108</v>
      </c>
      <c r="F941" s="1426" t="s">
        <v>1108</v>
      </c>
      <c r="G941" s="1414" t="s">
        <v>1108</v>
      </c>
    </row>
    <row r="942" spans="1:7" x14ac:dyDescent="0.25">
      <c r="A942" s="1427" t="s">
        <v>1200</v>
      </c>
      <c r="B942" s="1416" t="s">
        <v>1201</v>
      </c>
      <c r="C942" s="1416"/>
      <c r="D942" s="1416"/>
      <c r="E942" s="1416"/>
      <c r="F942" s="1416"/>
      <c r="G942" s="989">
        <f>SUM(G932+G937)</f>
        <v>490700</v>
      </c>
    </row>
    <row r="943" spans="1:7" x14ac:dyDescent="0.25">
      <c r="A943" s="1427" t="s">
        <v>1202</v>
      </c>
      <c r="B943" s="1416" t="s">
        <v>1203</v>
      </c>
      <c r="C943" s="1416"/>
      <c r="D943" s="1416"/>
      <c r="E943" s="1416" t="s">
        <v>1204</v>
      </c>
      <c r="F943" s="1416"/>
      <c r="G943" s="989">
        <f>G942*0.15</f>
        <v>73605</v>
      </c>
    </row>
    <row r="944" spans="1:7" x14ac:dyDescent="0.25">
      <c r="A944" s="1427" t="s">
        <v>1205</v>
      </c>
      <c r="B944" s="1416" t="s">
        <v>1206</v>
      </c>
      <c r="C944" s="1416"/>
      <c r="D944" s="1416"/>
      <c r="E944" s="1416"/>
      <c r="F944" s="1416"/>
      <c r="G944" s="1002">
        <f>SUM(G942:G943)</f>
        <v>564305</v>
      </c>
    </row>
    <row r="946" spans="1:7" x14ac:dyDescent="0.25">
      <c r="A946" s="356" t="s">
        <v>1220</v>
      </c>
    </row>
    <row r="947" spans="1:7" x14ac:dyDescent="0.25">
      <c r="A947" s="1395" t="s">
        <v>146</v>
      </c>
      <c r="B947" s="1396" t="s">
        <v>550</v>
      </c>
      <c r="C947" s="1396" t="s">
        <v>551</v>
      </c>
      <c r="D947" s="1396" t="s">
        <v>552</v>
      </c>
      <c r="E947" s="1396" t="s">
        <v>553</v>
      </c>
      <c r="F947" s="1400" t="s">
        <v>554</v>
      </c>
      <c r="G947" s="1400" t="s">
        <v>555</v>
      </c>
    </row>
    <row r="948" spans="1:7" x14ac:dyDescent="0.25">
      <c r="A948" s="1401" t="s">
        <v>1176</v>
      </c>
      <c r="B948" s="1402" t="s">
        <v>1217</v>
      </c>
      <c r="C948" s="1403" t="s">
        <v>1219</v>
      </c>
      <c r="D948" s="1430" t="s">
        <v>435</v>
      </c>
      <c r="E948" s="1431">
        <v>1.1000000000000001</v>
      </c>
      <c r="F948" s="1433">
        <f>G944</f>
        <v>564305</v>
      </c>
      <c r="G948" s="1434">
        <f>E948*F948</f>
        <v>620735.5</v>
      </c>
    </row>
    <row r="949" spans="1:7" x14ac:dyDescent="0.25">
      <c r="A949" s="1406" t="s">
        <v>1108</v>
      </c>
      <c r="B949" s="1407" t="s">
        <v>1218</v>
      </c>
      <c r="C949" s="1408"/>
      <c r="D949" s="1420" t="s">
        <v>435</v>
      </c>
      <c r="E949" s="1432">
        <v>1.1000000000000001</v>
      </c>
      <c r="F949" s="1409">
        <f>G537</f>
        <v>75555</v>
      </c>
      <c r="G949" s="1434">
        <f>E949*F949</f>
        <v>83110.5</v>
      </c>
    </row>
    <row r="950" spans="1:7" x14ac:dyDescent="0.25">
      <c r="A950" s="1427" t="s">
        <v>1</v>
      </c>
      <c r="B950" s="1416" t="s">
        <v>1201</v>
      </c>
      <c r="C950" s="1416"/>
      <c r="D950" s="1416"/>
      <c r="E950" s="1416"/>
      <c r="F950" s="1416"/>
      <c r="G950" s="989">
        <f>SUM(G944+G949)</f>
        <v>647415.5</v>
      </c>
    </row>
    <row r="951" spans="1:7" x14ac:dyDescent="0.25">
      <c r="A951" s="1427" t="s">
        <v>560</v>
      </c>
      <c r="B951" s="1416" t="s">
        <v>1203</v>
      </c>
      <c r="C951" s="1416"/>
      <c r="D951" s="1416"/>
      <c r="E951" s="1416" t="s">
        <v>1204</v>
      </c>
      <c r="F951" s="1416"/>
      <c r="G951" s="989">
        <f>G950*0.15</f>
        <v>97112.324999999997</v>
      </c>
    </row>
    <row r="952" spans="1:7" x14ac:dyDescent="0.25">
      <c r="A952" s="1427" t="s">
        <v>564</v>
      </c>
      <c r="B952" s="1416" t="s">
        <v>1206</v>
      </c>
      <c r="C952" s="1416"/>
      <c r="D952" s="1416"/>
      <c r="E952" s="1416"/>
      <c r="F952" s="1416"/>
      <c r="G952" s="1002">
        <f>SUM(G950:G951)</f>
        <v>744527.82499999995</v>
      </c>
    </row>
    <row r="954" spans="1:7" x14ac:dyDescent="0.25">
      <c r="A954" s="356" t="s">
        <v>1221</v>
      </c>
    </row>
    <row r="955" spans="1:7" x14ac:dyDescent="0.25">
      <c r="A955" s="1395" t="s">
        <v>146</v>
      </c>
      <c r="B955" s="1396" t="s">
        <v>550</v>
      </c>
      <c r="C955" s="1396" t="s">
        <v>551</v>
      </c>
      <c r="D955" s="1396" t="s">
        <v>552</v>
      </c>
      <c r="E955" s="1396" t="s">
        <v>553</v>
      </c>
      <c r="F955" s="1400" t="s">
        <v>554</v>
      </c>
      <c r="G955" s="1400" t="s">
        <v>555</v>
      </c>
    </row>
    <row r="956" spans="1:7" x14ac:dyDescent="0.25">
      <c r="A956" s="1401" t="s">
        <v>1176</v>
      </c>
      <c r="B956" s="1402" t="s">
        <v>1217</v>
      </c>
      <c r="C956" s="1403" t="s">
        <v>1219</v>
      </c>
      <c r="D956" s="1430" t="s">
        <v>435</v>
      </c>
      <c r="E956" s="1431">
        <v>1.1000000000000001</v>
      </c>
      <c r="F956" s="1433">
        <f>G952</f>
        <v>744527.82499999995</v>
      </c>
      <c r="G956" s="1434">
        <f>E956*F956</f>
        <v>818980.60750000004</v>
      </c>
    </row>
    <row r="957" spans="1:7" x14ac:dyDescent="0.25">
      <c r="A957" s="1406" t="s">
        <v>1108</v>
      </c>
      <c r="B957" s="1407" t="s">
        <v>1279</v>
      </c>
      <c r="C957" s="1408"/>
      <c r="D957" s="1420" t="s">
        <v>435</v>
      </c>
      <c r="E957" s="1432">
        <v>1.1000000000000001</v>
      </c>
      <c r="F957" s="1409">
        <v>750000</v>
      </c>
      <c r="G957" s="1476">
        <f>E957*F957</f>
        <v>825000.00000000012</v>
      </c>
    </row>
    <row r="958" spans="1:7" x14ac:dyDescent="0.25">
      <c r="A958" s="1427" t="s">
        <v>1</v>
      </c>
      <c r="B958" s="1416" t="s">
        <v>1201</v>
      </c>
      <c r="C958" s="1416"/>
      <c r="D958" s="1416"/>
      <c r="E958" s="1416"/>
      <c r="F958" s="1416"/>
      <c r="G958" s="989">
        <f>SUM(G952+G957)</f>
        <v>1569527.8250000002</v>
      </c>
    </row>
    <row r="959" spans="1:7" x14ac:dyDescent="0.25">
      <c r="A959" s="1427" t="s">
        <v>560</v>
      </c>
      <c r="B959" s="1416" t="s">
        <v>1203</v>
      </c>
      <c r="C959" s="1416"/>
      <c r="D959" s="1416"/>
      <c r="E959" s="1416" t="s">
        <v>1204</v>
      </c>
      <c r="F959" s="1416"/>
      <c r="G959" s="989">
        <f>G958*0.15</f>
        <v>235429.17375000002</v>
      </c>
    </row>
    <row r="960" spans="1:7" x14ac:dyDescent="0.25">
      <c r="A960" s="1427" t="s">
        <v>564</v>
      </c>
      <c r="B960" s="1416" t="s">
        <v>1206</v>
      </c>
      <c r="C960" s="1416"/>
      <c r="D960" s="1416"/>
      <c r="E960" s="1416"/>
      <c r="F960" s="1416"/>
      <c r="G960" s="1002">
        <f>SUM(G958:G959)</f>
        <v>1804956.9987500003</v>
      </c>
    </row>
    <row r="962" spans="1:7" x14ac:dyDescent="0.25">
      <c r="A962" s="356" t="s">
        <v>1225</v>
      </c>
    </row>
    <row r="963" spans="1:7" x14ac:dyDescent="0.25">
      <c r="A963" s="1395" t="s">
        <v>146</v>
      </c>
      <c r="B963" s="1396" t="s">
        <v>550</v>
      </c>
      <c r="C963" s="1396" t="s">
        <v>551</v>
      </c>
      <c r="D963" s="1396" t="s">
        <v>552</v>
      </c>
      <c r="E963" s="1396" t="s">
        <v>553</v>
      </c>
      <c r="F963" s="1400" t="s">
        <v>554</v>
      </c>
      <c r="G963" s="1400" t="s">
        <v>555</v>
      </c>
    </row>
    <row r="964" spans="1:7" x14ac:dyDescent="0.25">
      <c r="A964" s="1401" t="s">
        <v>1176</v>
      </c>
      <c r="B964" s="1402" t="s">
        <v>1177</v>
      </c>
      <c r="C964" s="1403" t="s">
        <v>1108</v>
      </c>
      <c r="D964" s="1403" t="s">
        <v>1108</v>
      </c>
      <c r="E964" s="1403" t="s">
        <v>1108</v>
      </c>
      <c r="F964" s="1404" t="s">
        <v>1108</v>
      </c>
      <c r="G964" s="1405" t="s">
        <v>1108</v>
      </c>
    </row>
    <row r="965" spans="1:7" x14ac:dyDescent="0.25">
      <c r="A965" s="1406" t="s">
        <v>1108</v>
      </c>
      <c r="B965" s="1407" t="s">
        <v>1178</v>
      </c>
      <c r="C965" s="1408" t="s">
        <v>1179</v>
      </c>
      <c r="D965" s="1408" t="s">
        <v>1180</v>
      </c>
      <c r="E965" s="1408">
        <v>0.35</v>
      </c>
      <c r="F965" s="1409">
        <f>F928</f>
        <v>110000</v>
      </c>
      <c r="G965" s="1410">
        <f>E965*F965</f>
        <v>38500</v>
      </c>
    </row>
    <row r="966" spans="1:7" x14ac:dyDescent="0.25">
      <c r="A966" s="1406" t="s">
        <v>1108</v>
      </c>
      <c r="B966" s="1407" t="s">
        <v>1231</v>
      </c>
      <c r="C966" s="1408" t="s">
        <v>1182</v>
      </c>
      <c r="D966" s="1408" t="s">
        <v>1180</v>
      </c>
      <c r="E966" s="1408">
        <v>0.35</v>
      </c>
      <c r="F966" s="1409">
        <f t="shared" ref="F966:F968" si="7">F929</f>
        <v>153000</v>
      </c>
      <c r="G966" s="1410">
        <f>E966*F966</f>
        <v>53550</v>
      </c>
    </row>
    <row r="967" spans="1:7" x14ac:dyDescent="0.25">
      <c r="A967" s="1406" t="s">
        <v>1108</v>
      </c>
      <c r="B967" s="1407" t="s">
        <v>1183</v>
      </c>
      <c r="C967" s="1408" t="s">
        <v>1184</v>
      </c>
      <c r="D967" s="1408" t="s">
        <v>1180</v>
      </c>
      <c r="E967" s="1408">
        <v>3.5000000000000003E-2</v>
      </c>
      <c r="F967" s="1409">
        <f t="shared" si="7"/>
        <v>170000</v>
      </c>
      <c r="G967" s="1410">
        <f>E967*F967</f>
        <v>5950.0000000000009</v>
      </c>
    </row>
    <row r="968" spans="1:7" x14ac:dyDescent="0.25">
      <c r="A968" s="1411" t="s">
        <v>1108</v>
      </c>
      <c r="B968" s="1412" t="s">
        <v>1185</v>
      </c>
      <c r="C968" s="1413" t="s">
        <v>1186</v>
      </c>
      <c r="D968" s="1413" t="s">
        <v>1180</v>
      </c>
      <c r="E968" s="1413">
        <v>1.7999999999999999E-2</v>
      </c>
      <c r="F968" s="1409">
        <f t="shared" si="7"/>
        <v>150000</v>
      </c>
      <c r="G968" s="1410">
        <f>E968*F968</f>
        <v>2700</v>
      </c>
    </row>
    <row r="969" spans="1:7" x14ac:dyDescent="0.25">
      <c r="A969" s="1414" t="s">
        <v>1108</v>
      </c>
      <c r="B969" s="1415" t="s">
        <v>1108</v>
      </c>
      <c r="C969" s="1415" t="s">
        <v>1108</v>
      </c>
      <c r="D969" s="1415" t="s">
        <v>1108</v>
      </c>
      <c r="E969" s="1416" t="s">
        <v>1187</v>
      </c>
      <c r="F969" s="1416"/>
      <c r="G969" s="1417">
        <f>SUM(G965:G968)</f>
        <v>100700</v>
      </c>
    </row>
    <row r="970" spans="1:7" x14ac:dyDescent="0.25">
      <c r="A970" s="1401" t="s">
        <v>1188</v>
      </c>
      <c r="B970" s="1402" t="s">
        <v>1189</v>
      </c>
      <c r="C970" s="1403" t="s">
        <v>1108</v>
      </c>
      <c r="D970" s="1403" t="s">
        <v>1108</v>
      </c>
      <c r="E970" s="1403" t="s">
        <v>1108</v>
      </c>
      <c r="F970" s="1404" t="s">
        <v>1108</v>
      </c>
      <c r="G970" s="1405" t="s">
        <v>1108</v>
      </c>
    </row>
    <row r="971" spans="1:7" x14ac:dyDescent="0.25">
      <c r="A971" s="1406" t="s">
        <v>1108</v>
      </c>
      <c r="B971" s="1418" t="s">
        <v>1224</v>
      </c>
      <c r="C971" s="1419" t="s">
        <v>1108</v>
      </c>
      <c r="D971" s="1408" t="s">
        <v>1216</v>
      </c>
      <c r="E971" s="1408">
        <v>6</v>
      </c>
      <c r="F971" s="1409">
        <f>30000/6</f>
        <v>5000</v>
      </c>
      <c r="G971" s="1410">
        <f>E971*F971</f>
        <v>30000</v>
      </c>
    </row>
    <row r="972" spans="1:7" x14ac:dyDescent="0.25">
      <c r="A972" s="1406" t="s">
        <v>1108</v>
      </c>
      <c r="B972" s="1407" t="s">
        <v>1253</v>
      </c>
      <c r="C972" s="1419" t="s">
        <v>1108</v>
      </c>
      <c r="D972" s="1408" t="s">
        <v>132</v>
      </c>
      <c r="E972" s="1570" t="s">
        <v>1227</v>
      </c>
      <c r="F972" s="1409">
        <f>G971</f>
        <v>30000</v>
      </c>
      <c r="G972" s="1410">
        <f>F972</f>
        <v>30000</v>
      </c>
    </row>
    <row r="973" spans="1:7" x14ac:dyDescent="0.25">
      <c r="A973" s="1411" t="s">
        <v>1108</v>
      </c>
      <c r="B973" s="1412"/>
      <c r="C973" s="1421"/>
      <c r="D973" s="1413"/>
      <c r="E973" s="1571"/>
      <c r="F973" s="1422"/>
      <c r="G973" s="1410"/>
    </row>
    <row r="974" spans="1:7" x14ac:dyDescent="0.25">
      <c r="A974" s="1414" t="s">
        <v>1108</v>
      </c>
      <c r="B974" s="1415" t="s">
        <v>1108</v>
      </c>
      <c r="C974" s="1415" t="s">
        <v>1108</v>
      </c>
      <c r="D974" s="1415" t="s">
        <v>1108</v>
      </c>
      <c r="E974" s="1416" t="s">
        <v>1196</v>
      </c>
      <c r="F974" s="1423"/>
      <c r="G974" s="1424">
        <f>SUM(G971:G973)</f>
        <v>60000</v>
      </c>
    </row>
    <row r="975" spans="1:7" x14ac:dyDescent="0.25">
      <c r="A975" s="1401" t="s">
        <v>1197</v>
      </c>
      <c r="B975" s="1402" t="s">
        <v>1198</v>
      </c>
      <c r="C975" s="1403" t="s">
        <v>1108</v>
      </c>
      <c r="D975" s="1403" t="s">
        <v>1108</v>
      </c>
      <c r="E975" s="1403" t="s">
        <v>1108</v>
      </c>
      <c r="F975" s="1404" t="s">
        <v>1108</v>
      </c>
      <c r="G975" s="1405" t="s">
        <v>1108</v>
      </c>
    </row>
    <row r="976" spans="1:7" x14ac:dyDescent="0.25">
      <c r="A976" s="1411" t="s">
        <v>1108</v>
      </c>
      <c r="B976" s="1421" t="s">
        <v>1108</v>
      </c>
      <c r="C976" s="1421" t="s">
        <v>1108</v>
      </c>
      <c r="D976" s="1421" t="s">
        <v>1108</v>
      </c>
      <c r="E976" s="1421" t="s">
        <v>1108</v>
      </c>
      <c r="F976" s="1425" t="s">
        <v>1108</v>
      </c>
      <c r="G976" s="1411" t="s">
        <v>1108</v>
      </c>
    </row>
    <row r="977" spans="1:7" x14ac:dyDescent="0.25">
      <c r="A977" s="1414" t="s">
        <v>1108</v>
      </c>
      <c r="B977" s="1415" t="s">
        <v>1108</v>
      </c>
      <c r="C977" s="1415" t="s">
        <v>1108</v>
      </c>
      <c r="D977" s="1415" t="s">
        <v>1108</v>
      </c>
      <c r="E977" s="1416" t="s">
        <v>1199</v>
      </c>
      <c r="F977" s="1416"/>
      <c r="G977" s="1414" t="s">
        <v>1108</v>
      </c>
    </row>
    <row r="978" spans="1:7" x14ac:dyDescent="0.25">
      <c r="A978" s="1414" t="s">
        <v>1108</v>
      </c>
      <c r="B978" s="1415" t="s">
        <v>1108</v>
      </c>
      <c r="C978" s="1415" t="s">
        <v>1108</v>
      </c>
      <c r="D978" s="1415" t="s">
        <v>1108</v>
      </c>
      <c r="E978" s="1415" t="s">
        <v>1108</v>
      </c>
      <c r="F978" s="1426" t="s">
        <v>1108</v>
      </c>
      <c r="G978" s="1414" t="s">
        <v>1108</v>
      </c>
    </row>
    <row r="979" spans="1:7" x14ac:dyDescent="0.25">
      <c r="A979" s="1427" t="s">
        <v>1200</v>
      </c>
      <c r="B979" s="1416" t="s">
        <v>1201</v>
      </c>
      <c r="C979" s="1416"/>
      <c r="D979" s="1416"/>
      <c r="E979" s="1416"/>
      <c r="F979" s="1416"/>
      <c r="G979" s="989">
        <f>SUM(G969+G974)</f>
        <v>160700</v>
      </c>
    </row>
    <row r="980" spans="1:7" x14ac:dyDescent="0.25">
      <c r="A980" s="1427" t="s">
        <v>1202</v>
      </c>
      <c r="B980" s="1416" t="s">
        <v>1203</v>
      </c>
      <c r="C980" s="1416"/>
      <c r="D980" s="1416"/>
      <c r="E980" s="1416" t="s">
        <v>1204</v>
      </c>
      <c r="F980" s="1416"/>
      <c r="G980" s="989">
        <f>G979*0.15</f>
        <v>24105</v>
      </c>
    </row>
    <row r="981" spans="1:7" x14ac:dyDescent="0.25">
      <c r="A981" s="1427" t="s">
        <v>1205</v>
      </c>
      <c r="B981" s="1416" t="s">
        <v>1206</v>
      </c>
      <c r="C981" s="1416"/>
      <c r="D981" s="1416"/>
      <c r="E981" s="1416"/>
      <c r="F981" s="1416"/>
      <c r="G981" s="1002">
        <f>SUM(G979:G980)</f>
        <v>184805</v>
      </c>
    </row>
    <row r="983" spans="1:7" x14ac:dyDescent="0.25">
      <c r="A983" s="356" t="s">
        <v>1228</v>
      </c>
      <c r="B983" s="356" t="s">
        <v>1229</v>
      </c>
    </row>
    <row r="984" spans="1:7" x14ac:dyDescent="0.25">
      <c r="A984" s="1395" t="s">
        <v>146</v>
      </c>
      <c r="B984" s="1396" t="s">
        <v>550</v>
      </c>
      <c r="C984" s="1396" t="s">
        <v>551</v>
      </c>
      <c r="D984" s="1396" t="s">
        <v>552</v>
      </c>
      <c r="E984" s="1396" t="s">
        <v>553</v>
      </c>
      <c r="F984" s="1400" t="s">
        <v>554</v>
      </c>
      <c r="G984" s="1400" t="s">
        <v>555</v>
      </c>
    </row>
    <row r="985" spans="1:7" x14ac:dyDescent="0.25">
      <c r="A985" s="1401" t="s">
        <v>1176</v>
      </c>
      <c r="B985" s="1402" t="s">
        <v>1177</v>
      </c>
      <c r="C985" s="1403" t="s">
        <v>1108</v>
      </c>
      <c r="D985" s="1403" t="s">
        <v>1108</v>
      </c>
      <c r="E985" s="1403" t="s">
        <v>1108</v>
      </c>
      <c r="F985" s="1404" t="s">
        <v>1108</v>
      </c>
      <c r="G985" s="1405" t="s">
        <v>1108</v>
      </c>
    </row>
    <row r="986" spans="1:7" x14ac:dyDescent="0.25">
      <c r="A986" s="1406" t="s">
        <v>1108</v>
      </c>
      <c r="B986" s="1407" t="s">
        <v>1178</v>
      </c>
      <c r="C986" s="1408" t="s">
        <v>1179</v>
      </c>
      <c r="D986" s="1408" t="s">
        <v>1180</v>
      </c>
      <c r="E986" s="1408">
        <v>0.1</v>
      </c>
      <c r="F986" s="1409">
        <f>F965</f>
        <v>110000</v>
      </c>
      <c r="G986" s="1410">
        <f>E986*F986</f>
        <v>11000</v>
      </c>
    </row>
    <row r="987" spans="1:7" x14ac:dyDescent="0.25">
      <c r="A987" s="1406" t="s">
        <v>1108</v>
      </c>
      <c r="B987" s="1407" t="s">
        <v>1231</v>
      </c>
      <c r="C987" s="1408" t="s">
        <v>1182</v>
      </c>
      <c r="D987" s="1408" t="s">
        <v>1180</v>
      </c>
      <c r="E987" s="1408">
        <v>0.05</v>
      </c>
      <c r="F987" s="1409">
        <f t="shared" ref="F987:F989" si="8">F966</f>
        <v>153000</v>
      </c>
      <c r="G987" s="1410">
        <f>E987*F987</f>
        <v>7650</v>
      </c>
    </row>
    <row r="988" spans="1:7" x14ac:dyDescent="0.25">
      <c r="A988" s="1406" t="s">
        <v>1108</v>
      </c>
      <c r="B988" s="1407" t="s">
        <v>1183</v>
      </c>
      <c r="C988" s="1408" t="s">
        <v>1184</v>
      </c>
      <c r="D988" s="1408" t="s">
        <v>1180</v>
      </c>
      <c r="E988" s="1408">
        <v>5.0000000000000001E-3</v>
      </c>
      <c r="F988" s="1409">
        <f t="shared" si="8"/>
        <v>170000</v>
      </c>
      <c r="G988" s="1410">
        <f>E988*F988</f>
        <v>850</v>
      </c>
    </row>
    <row r="989" spans="1:7" x14ac:dyDescent="0.25">
      <c r="A989" s="1411" t="s">
        <v>1108</v>
      </c>
      <c r="B989" s="1412" t="s">
        <v>1185</v>
      </c>
      <c r="C989" s="1413" t="s">
        <v>1186</v>
      </c>
      <c r="D989" s="1413" t="s">
        <v>1180</v>
      </c>
      <c r="E989" s="1413">
        <v>5.0000000000000001E-3</v>
      </c>
      <c r="F989" s="1409">
        <f t="shared" si="8"/>
        <v>150000</v>
      </c>
      <c r="G989" s="1410">
        <f>E989*F989</f>
        <v>750</v>
      </c>
    </row>
    <row r="990" spans="1:7" x14ac:dyDescent="0.25">
      <c r="A990" s="1414" t="s">
        <v>1108</v>
      </c>
      <c r="B990" s="1415" t="s">
        <v>1108</v>
      </c>
      <c r="C990" s="1415" t="s">
        <v>1108</v>
      </c>
      <c r="D990" s="1415" t="s">
        <v>1108</v>
      </c>
      <c r="E990" s="1416" t="s">
        <v>1187</v>
      </c>
      <c r="F990" s="1416"/>
      <c r="G990" s="1417">
        <f>SUM(G986:G989)</f>
        <v>20250</v>
      </c>
    </row>
    <row r="991" spans="1:7" x14ac:dyDescent="0.25">
      <c r="A991" s="1401" t="s">
        <v>1188</v>
      </c>
      <c r="B991" s="1402" t="s">
        <v>1189</v>
      </c>
      <c r="C991" s="1403" t="s">
        <v>1108</v>
      </c>
      <c r="D991" s="1403" t="s">
        <v>1108</v>
      </c>
      <c r="E991" s="1403" t="s">
        <v>1108</v>
      </c>
      <c r="F991" s="1404" t="s">
        <v>1108</v>
      </c>
      <c r="G991" s="1405" t="s">
        <v>1108</v>
      </c>
    </row>
    <row r="992" spans="1:7" x14ac:dyDescent="0.25">
      <c r="A992" s="1406" t="s">
        <v>1108</v>
      </c>
      <c r="B992" s="1418" t="s">
        <v>1230</v>
      </c>
      <c r="C992" s="1419" t="s">
        <v>1108</v>
      </c>
      <c r="D992" s="1408" t="s">
        <v>435</v>
      </c>
      <c r="E992" s="1408">
        <v>1</v>
      </c>
      <c r="F992" s="1409">
        <v>165000</v>
      </c>
      <c r="G992" s="1410">
        <f>E992*F992</f>
        <v>165000</v>
      </c>
    </row>
    <row r="993" spans="1:7" ht="15" customHeight="1" x14ac:dyDescent="0.25">
      <c r="A993" s="1406" t="s">
        <v>1108</v>
      </c>
      <c r="B993" s="1407" t="s">
        <v>264</v>
      </c>
      <c r="C993" s="1419" t="s">
        <v>1108</v>
      </c>
      <c r="D993" s="1408" t="s">
        <v>755</v>
      </c>
      <c r="E993" s="1475">
        <v>0.11</v>
      </c>
      <c r="F993" s="1409">
        <f>'UPah &amp; Bahan oke'!H52</f>
        <v>46000</v>
      </c>
      <c r="G993" s="1410">
        <f>E993*F993</f>
        <v>5060</v>
      </c>
    </row>
    <row r="994" spans="1:7" x14ac:dyDescent="0.25">
      <c r="A994" s="1411" t="s">
        <v>1108</v>
      </c>
      <c r="B994" s="1412"/>
      <c r="C994" s="1421"/>
      <c r="D994" s="1413"/>
      <c r="E994" s="1439"/>
      <c r="F994" s="1422"/>
      <c r="G994" s="1410"/>
    </row>
    <row r="995" spans="1:7" x14ac:dyDescent="0.25">
      <c r="A995" s="1414" t="s">
        <v>1108</v>
      </c>
      <c r="B995" s="1415" t="s">
        <v>1108</v>
      </c>
      <c r="C995" s="1415" t="s">
        <v>1108</v>
      </c>
      <c r="D995" s="1415" t="s">
        <v>1108</v>
      </c>
      <c r="E995" s="1416" t="s">
        <v>1196</v>
      </c>
      <c r="F995" s="1423"/>
      <c r="G995" s="1424">
        <f>SUM(G992:G994)</f>
        <v>170060</v>
      </c>
    </row>
    <row r="996" spans="1:7" x14ac:dyDescent="0.25">
      <c r="A996" s="1401" t="s">
        <v>1197</v>
      </c>
      <c r="B996" s="1402" t="s">
        <v>1198</v>
      </c>
      <c r="C996" s="1403" t="s">
        <v>1108</v>
      </c>
      <c r="D996" s="1403" t="s">
        <v>1108</v>
      </c>
      <c r="E996" s="1403" t="s">
        <v>1108</v>
      </c>
      <c r="F996" s="1404" t="s">
        <v>1108</v>
      </c>
      <c r="G996" s="1405" t="s">
        <v>1108</v>
      </c>
    </row>
    <row r="997" spans="1:7" x14ac:dyDescent="0.25">
      <c r="A997" s="1411" t="s">
        <v>1108</v>
      </c>
      <c r="B997" s="1421" t="s">
        <v>1108</v>
      </c>
      <c r="C997" s="1421" t="s">
        <v>1108</v>
      </c>
      <c r="D997" s="1421" t="s">
        <v>1108</v>
      </c>
      <c r="E997" s="1421" t="s">
        <v>1108</v>
      </c>
      <c r="F997" s="1425" t="s">
        <v>1108</v>
      </c>
      <c r="G997" s="1411" t="s">
        <v>1108</v>
      </c>
    </row>
    <row r="998" spans="1:7" x14ac:dyDescent="0.25">
      <c r="A998" s="1414" t="s">
        <v>1108</v>
      </c>
      <c r="B998" s="1415" t="s">
        <v>1108</v>
      </c>
      <c r="C998" s="1415" t="s">
        <v>1108</v>
      </c>
      <c r="D998" s="1415" t="s">
        <v>1108</v>
      </c>
      <c r="E998" s="1416" t="s">
        <v>1199</v>
      </c>
      <c r="F998" s="1416"/>
      <c r="G998" s="1414" t="s">
        <v>1108</v>
      </c>
    </row>
    <row r="999" spans="1:7" x14ac:dyDescent="0.25">
      <c r="A999" s="1414" t="s">
        <v>1108</v>
      </c>
      <c r="B999" s="1415" t="s">
        <v>1108</v>
      </c>
      <c r="C999" s="1415" t="s">
        <v>1108</v>
      </c>
      <c r="D999" s="1415" t="s">
        <v>1108</v>
      </c>
      <c r="E999" s="1415" t="s">
        <v>1108</v>
      </c>
      <c r="F999" s="1426" t="s">
        <v>1108</v>
      </c>
      <c r="G999" s="1414" t="s">
        <v>1108</v>
      </c>
    </row>
    <row r="1000" spans="1:7" x14ac:dyDescent="0.25">
      <c r="A1000" s="1427" t="s">
        <v>1200</v>
      </c>
      <c r="B1000" s="1416" t="s">
        <v>1201</v>
      </c>
      <c r="C1000" s="1416"/>
      <c r="D1000" s="1416"/>
      <c r="E1000" s="1416"/>
      <c r="F1000" s="1416"/>
      <c r="G1000" s="989">
        <f>SUM(G990+G995)</f>
        <v>190310</v>
      </c>
    </row>
    <row r="1001" spans="1:7" x14ac:dyDescent="0.25">
      <c r="A1001" s="1427" t="s">
        <v>1202</v>
      </c>
      <c r="B1001" s="1416" t="s">
        <v>1203</v>
      </c>
      <c r="C1001" s="1416"/>
      <c r="D1001" s="1416"/>
      <c r="E1001" s="1416" t="s">
        <v>1204</v>
      </c>
      <c r="F1001" s="1416"/>
      <c r="G1001" s="989">
        <f>G1000*0.15</f>
        <v>28546.5</v>
      </c>
    </row>
    <row r="1002" spans="1:7" x14ac:dyDescent="0.25">
      <c r="A1002" s="1427" t="s">
        <v>1205</v>
      </c>
      <c r="B1002" s="1416" t="s">
        <v>1206</v>
      </c>
      <c r="C1002" s="1416"/>
      <c r="D1002" s="1416"/>
      <c r="E1002" s="1416"/>
      <c r="F1002" s="1416"/>
      <c r="G1002" s="1002">
        <f>SUM(G1000:G1001)</f>
        <v>218856.5</v>
      </c>
    </row>
  </sheetData>
  <protectedRanges>
    <protectedRange password="CF35" sqref="E289:E291" name="Range1_8"/>
    <protectedRange password="CF35" sqref="D289:D291" name="Range1_9"/>
    <protectedRange password="CF35" sqref="B289:B291" name="Range1_10"/>
    <protectedRange password="CF35" sqref="E376:E379" name="Range1_11"/>
    <protectedRange password="CF35" sqref="B382:B385" name="Range1_12"/>
    <protectedRange password="CF35" sqref="E382:E385" name="Range1_13"/>
    <protectedRange password="CF35" sqref="D382:D385" name="Range1_14"/>
    <protectedRange password="CF35" sqref="E704:E707 E723:E726" name="Range1"/>
    <protectedRange password="CF35" sqref="B710:B713 B729:B731" name="Range1_1"/>
    <protectedRange password="CF35" sqref="D710:D713 D729:D731" name="Range1_2"/>
    <protectedRange password="CF35" sqref="E710:E713 E729:E731" name="Range1_3"/>
  </protectedRanges>
  <mergeCells count="2">
    <mergeCell ref="A1:G1"/>
    <mergeCell ref="E972:E973"/>
  </mergeCells>
  <printOptions horizontalCentered="1"/>
  <pageMargins left="0.15" right="0.12" top="0.35433070866141703" bottom="0.28000000000000003" header="0.118110236220472" footer="0.118110236220472"/>
  <pageSetup paperSize="9" scale="64" orientation="portrait" r:id="rId1"/>
  <rowBreaks count="11" manualBreakCount="11">
    <brk id="82" max="6" man="1"/>
    <brk id="166" max="6" man="1"/>
    <brk id="259" max="6" man="1"/>
    <brk id="336" max="6" man="1"/>
    <brk id="409" max="6" man="1"/>
    <brk id="482" max="6" man="1"/>
    <brk id="552" max="6" man="1"/>
    <brk id="625" max="6" man="1"/>
    <brk id="640" max="6" man="1"/>
    <brk id="700" max="6" man="1"/>
    <brk id="79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R789"/>
  <sheetViews>
    <sheetView showGridLines="0" view="pageBreakPreview" topLeftCell="A599" zoomScale="85" zoomScaleSheetLayoutView="85" workbookViewId="0">
      <selection activeCell="C362" sqref="C362"/>
    </sheetView>
  </sheetViews>
  <sheetFormatPr defaultRowHeight="16.5" x14ac:dyDescent="0.3"/>
  <cols>
    <col min="1" max="1" width="9.140625" style="52"/>
    <col min="2" max="2" width="6.7109375" style="52" customWidth="1"/>
    <col min="3" max="3" width="9" style="52" customWidth="1"/>
    <col min="4" max="4" width="9.140625" style="52" customWidth="1"/>
    <col min="5" max="6" width="9.140625" style="52"/>
    <col min="7" max="7" width="9.42578125" style="52" customWidth="1"/>
    <col min="8" max="8" width="10.5703125" style="52" customWidth="1"/>
    <col min="9" max="9" width="5.7109375" style="52" customWidth="1"/>
    <col min="10" max="10" width="2.7109375" style="52" customWidth="1"/>
    <col min="11" max="11" width="3.7109375" style="52" customWidth="1"/>
    <col min="12" max="12" width="16.7109375" style="53" customWidth="1"/>
    <col min="13" max="13" width="3.5703125" style="53" customWidth="1"/>
    <col min="14" max="14" width="3.7109375" style="52" customWidth="1"/>
    <col min="15" max="15" width="20.28515625" style="53" customWidth="1"/>
    <col min="16" max="16" width="12.5703125" style="53" customWidth="1"/>
    <col min="17" max="17" width="14.28515625" style="52" bestFit="1" customWidth="1"/>
    <col min="18" max="16384" width="9.140625" style="52"/>
  </cols>
  <sheetData>
    <row r="4" spans="2:16" ht="20.100000000000001" customHeight="1" x14ac:dyDescent="0.3">
      <c r="B4" s="1572" t="s">
        <v>118</v>
      </c>
      <c r="C4" s="1572"/>
      <c r="D4" s="1572"/>
      <c r="E4" s="1572"/>
      <c r="F4" s="1572"/>
      <c r="G4" s="1572"/>
      <c r="H4" s="1572"/>
      <c r="I4" s="1572"/>
      <c r="J4" s="1572"/>
      <c r="K4" s="1572"/>
      <c r="L4" s="1572"/>
      <c r="M4" s="1572"/>
      <c r="N4" s="1572"/>
      <c r="O4" s="1572"/>
    </row>
    <row r="5" spans="2:16" ht="20.100000000000001" customHeight="1" x14ac:dyDescent="0.3"/>
    <row r="6" spans="2:16" ht="20.100000000000001" customHeight="1" x14ac:dyDescent="0.3">
      <c r="B6" s="54" t="s">
        <v>32</v>
      </c>
    </row>
    <row r="7" spans="2:16" ht="20.100000000000001" customHeight="1" x14ac:dyDescent="0.3">
      <c r="B7" s="54"/>
    </row>
    <row r="8" spans="2:16" ht="20.100000000000001" customHeight="1" x14ac:dyDescent="0.3">
      <c r="B8" s="55" t="s">
        <v>2</v>
      </c>
      <c r="C8" s="55" t="s">
        <v>330</v>
      </c>
      <c r="D8" s="56" t="s">
        <v>3</v>
      </c>
      <c r="E8" s="56" t="s">
        <v>131</v>
      </c>
      <c r="I8" s="57"/>
    </row>
    <row r="9" spans="2:16" ht="20.100000000000001" customHeight="1" x14ac:dyDescent="0.3">
      <c r="B9" s="58"/>
      <c r="C9" s="55" t="s">
        <v>4</v>
      </c>
      <c r="D9" s="56" t="s">
        <v>5</v>
      </c>
      <c r="E9" s="56"/>
      <c r="I9" s="57"/>
    </row>
    <row r="10" spans="2:16" ht="20.100000000000001" customHeight="1" x14ac:dyDescent="0.3">
      <c r="B10" s="59"/>
      <c r="C10" s="59"/>
      <c r="D10" s="60" t="s">
        <v>6</v>
      </c>
      <c r="H10" s="57">
        <v>1.2E-2</v>
      </c>
      <c r="I10" s="52" t="s">
        <v>7</v>
      </c>
      <c r="J10" s="52" t="s">
        <v>8</v>
      </c>
      <c r="K10" s="52" t="s">
        <v>9</v>
      </c>
      <c r="L10" s="53">
        <f>'UPah &amp; Bahan oke'!H42</f>
        <v>5200000</v>
      </c>
      <c r="M10" s="52" t="s">
        <v>10</v>
      </c>
      <c r="N10" s="52" t="s">
        <v>9</v>
      </c>
      <c r="O10" s="53">
        <f>L10*H10</f>
        <v>62400</v>
      </c>
      <c r="P10" s="52"/>
    </row>
    <row r="11" spans="2:16" ht="20.100000000000001" customHeight="1" x14ac:dyDescent="0.3">
      <c r="B11" s="59"/>
      <c r="C11" s="59"/>
      <c r="D11" s="60" t="s">
        <v>11</v>
      </c>
      <c r="H11" s="57">
        <v>0.02</v>
      </c>
      <c r="I11" s="52" t="s">
        <v>12</v>
      </c>
      <c r="J11" s="52" t="s">
        <v>8</v>
      </c>
      <c r="K11" s="52" t="s">
        <v>9</v>
      </c>
      <c r="L11" s="53">
        <f>'UPah &amp; Bahan oke'!H37</f>
        <v>20000</v>
      </c>
      <c r="M11" s="52" t="s">
        <v>10</v>
      </c>
      <c r="N11" s="52" t="s">
        <v>9</v>
      </c>
      <c r="O11" s="53">
        <f>L11*H11</f>
        <v>400</v>
      </c>
      <c r="P11" s="52"/>
    </row>
    <row r="12" spans="2:16" ht="20.100000000000001" customHeight="1" x14ac:dyDescent="0.3">
      <c r="B12" s="59"/>
      <c r="C12" s="59"/>
      <c r="D12" s="60"/>
      <c r="H12" s="57"/>
      <c r="M12" s="52"/>
      <c r="P12" s="52"/>
    </row>
    <row r="13" spans="2:16" ht="20.100000000000001" customHeight="1" x14ac:dyDescent="0.3">
      <c r="B13" s="59"/>
      <c r="C13" s="59"/>
      <c r="H13" s="57"/>
      <c r="K13" s="52" t="s">
        <v>13</v>
      </c>
      <c r="M13" s="52" t="s">
        <v>10</v>
      </c>
      <c r="N13" s="52" t="s">
        <v>9</v>
      </c>
      <c r="O13" s="61">
        <f>SUM(O10:O12)</f>
        <v>62800</v>
      </c>
      <c r="P13" s="52"/>
    </row>
    <row r="14" spans="2:16" ht="20.100000000000001" customHeight="1" x14ac:dyDescent="0.3">
      <c r="B14" s="58"/>
      <c r="C14" s="55" t="s">
        <v>14</v>
      </c>
      <c r="D14" s="56" t="s">
        <v>15</v>
      </c>
      <c r="E14" s="56"/>
      <c r="H14" s="57"/>
      <c r="M14" s="52"/>
      <c r="P14" s="52"/>
    </row>
    <row r="15" spans="2:16" ht="20.100000000000001" customHeight="1" x14ac:dyDescent="0.3">
      <c r="B15" s="59"/>
      <c r="C15" s="59"/>
      <c r="D15" s="52" t="s">
        <v>103</v>
      </c>
      <c r="H15" s="57">
        <v>0.1</v>
      </c>
      <c r="I15" s="52" t="s">
        <v>16</v>
      </c>
      <c r="J15" s="52" t="s">
        <v>8</v>
      </c>
      <c r="K15" s="52" t="s">
        <v>9</v>
      </c>
      <c r="L15" s="53">
        <f>'UPah &amp; Bahan oke'!H10</f>
        <v>153000</v>
      </c>
      <c r="M15" s="52" t="s">
        <v>10</v>
      </c>
      <c r="N15" s="52" t="s">
        <v>9</v>
      </c>
      <c r="O15" s="53">
        <f>L15*H15</f>
        <v>15300</v>
      </c>
      <c r="P15" s="52"/>
    </row>
    <row r="16" spans="2:16" ht="20.100000000000001" customHeight="1" x14ac:dyDescent="0.3">
      <c r="B16" s="59"/>
      <c r="C16" s="59"/>
      <c r="D16" s="52" t="s">
        <v>17</v>
      </c>
      <c r="H16" s="57">
        <v>0.1</v>
      </c>
      <c r="I16" s="52" t="s">
        <v>16</v>
      </c>
      <c r="J16" s="52" t="s">
        <v>8</v>
      </c>
      <c r="K16" s="52" t="s">
        <v>9</v>
      </c>
      <c r="L16" s="53">
        <f>'UPah &amp; Bahan oke'!H9</f>
        <v>110000</v>
      </c>
      <c r="M16" s="52" t="s">
        <v>10</v>
      </c>
      <c r="N16" s="52" t="s">
        <v>9</v>
      </c>
      <c r="O16" s="53">
        <f>L16*H16</f>
        <v>11000</v>
      </c>
      <c r="P16" s="52"/>
    </row>
    <row r="17" spans="2:16" ht="20.100000000000001" customHeight="1" x14ac:dyDescent="0.3">
      <c r="B17" s="59"/>
      <c r="C17" s="59"/>
      <c r="D17" s="52" t="s">
        <v>18</v>
      </c>
      <c r="H17" s="57">
        <v>0.01</v>
      </c>
      <c r="I17" s="52" t="s">
        <v>16</v>
      </c>
      <c r="J17" s="52" t="s">
        <v>8</v>
      </c>
      <c r="K17" s="52" t="s">
        <v>9</v>
      </c>
      <c r="L17" s="53">
        <f>'UPah &amp; Bahan oke'!H11</f>
        <v>170000</v>
      </c>
      <c r="M17" s="52" t="s">
        <v>10</v>
      </c>
      <c r="N17" s="52" t="s">
        <v>9</v>
      </c>
      <c r="O17" s="53">
        <f>L17*H17</f>
        <v>1700</v>
      </c>
      <c r="P17" s="52"/>
    </row>
    <row r="18" spans="2:16" ht="20.100000000000001" customHeight="1" x14ac:dyDescent="0.3">
      <c r="B18" s="59"/>
      <c r="C18" s="59"/>
      <c r="D18" s="52" t="s">
        <v>19</v>
      </c>
      <c r="H18" s="57">
        <v>5.0000000000000001E-3</v>
      </c>
      <c r="I18" s="52" t="s">
        <v>16</v>
      </c>
      <c r="J18" s="52" t="s">
        <v>8</v>
      </c>
      <c r="K18" s="52" t="s">
        <v>9</v>
      </c>
      <c r="L18" s="53">
        <f>'UPah &amp; Bahan oke'!H12</f>
        <v>150000</v>
      </c>
      <c r="M18" s="52" t="s">
        <v>10</v>
      </c>
      <c r="N18" s="52" t="s">
        <v>9</v>
      </c>
      <c r="O18" s="53">
        <f>L18*H18</f>
        <v>750</v>
      </c>
      <c r="P18" s="52"/>
    </row>
    <row r="19" spans="2:16" ht="20.100000000000001" customHeight="1" x14ac:dyDescent="0.3">
      <c r="B19" s="59"/>
      <c r="C19" s="59"/>
      <c r="H19" s="57"/>
      <c r="K19" s="52" t="s">
        <v>20</v>
      </c>
      <c r="M19" s="52" t="s">
        <v>10</v>
      </c>
      <c r="N19" s="52" t="s">
        <v>9</v>
      </c>
      <c r="O19" s="62">
        <f>SUM(O15:O18)</f>
        <v>28750</v>
      </c>
      <c r="P19" s="52"/>
    </row>
    <row r="20" spans="2:16" ht="20.100000000000001" customHeight="1" x14ac:dyDescent="0.3">
      <c r="B20" s="59"/>
      <c r="C20" s="59"/>
      <c r="H20" s="57"/>
      <c r="K20" s="52" t="s">
        <v>21</v>
      </c>
      <c r="M20" s="52" t="s">
        <v>10</v>
      </c>
      <c r="N20" s="52" t="s">
        <v>9</v>
      </c>
      <c r="O20" s="85">
        <f>O19+O13</f>
        <v>91550</v>
      </c>
      <c r="P20" s="52"/>
    </row>
    <row r="21" spans="2:16" ht="20.100000000000001" customHeight="1" x14ac:dyDescent="0.3">
      <c r="M21" s="52"/>
    </row>
    <row r="22" spans="2:16" ht="20.100000000000001" customHeight="1" x14ac:dyDescent="0.3">
      <c r="B22" s="55" t="s">
        <v>2</v>
      </c>
      <c r="C22" s="55" t="s">
        <v>333</v>
      </c>
      <c r="D22" s="55" t="s">
        <v>331</v>
      </c>
      <c r="E22" s="56" t="s">
        <v>332</v>
      </c>
      <c r="H22" s="57"/>
      <c r="M22" s="52"/>
    </row>
    <row r="23" spans="2:16" ht="20.100000000000001" customHeight="1" x14ac:dyDescent="0.3">
      <c r="B23" s="55"/>
      <c r="C23" s="55" t="s">
        <v>22</v>
      </c>
      <c r="D23" s="55" t="s">
        <v>15</v>
      </c>
      <c r="H23" s="57"/>
      <c r="M23" s="52"/>
    </row>
    <row r="24" spans="2:16" ht="20.100000000000001" customHeight="1" x14ac:dyDescent="0.3">
      <c r="B24" s="59"/>
      <c r="C24" s="59"/>
      <c r="D24" s="52" t="s">
        <v>17</v>
      </c>
      <c r="H24" s="57">
        <v>0.1</v>
      </c>
      <c r="I24" s="52" t="s">
        <v>16</v>
      </c>
      <c r="J24" s="52" t="s">
        <v>8</v>
      </c>
      <c r="K24" s="52" t="s">
        <v>9</v>
      </c>
      <c r="L24" s="53">
        <f>'UPah &amp; Bahan oke'!H9</f>
        <v>110000</v>
      </c>
      <c r="M24" s="52" t="s">
        <v>10</v>
      </c>
      <c r="N24" s="52" t="s">
        <v>9</v>
      </c>
      <c r="O24" s="53">
        <f>L24*H24</f>
        <v>11000</v>
      </c>
    </row>
    <row r="25" spans="2:16" ht="20.100000000000001" customHeight="1" x14ac:dyDescent="0.3">
      <c r="B25" s="59"/>
      <c r="C25" s="59"/>
      <c r="D25" s="52" t="s">
        <v>19</v>
      </c>
      <c r="H25" s="57">
        <v>0.05</v>
      </c>
      <c r="I25" s="52" t="s">
        <v>16</v>
      </c>
      <c r="J25" s="52" t="s">
        <v>8</v>
      </c>
      <c r="K25" s="52" t="s">
        <v>9</v>
      </c>
      <c r="L25" s="53">
        <f>'UPah &amp; Bahan oke'!H12</f>
        <v>150000</v>
      </c>
      <c r="M25" s="52" t="s">
        <v>10</v>
      </c>
      <c r="N25" s="52" t="s">
        <v>9</v>
      </c>
      <c r="O25" s="53">
        <f>L25*H25</f>
        <v>7500</v>
      </c>
    </row>
    <row r="26" spans="2:16" ht="20.100000000000001" customHeight="1" x14ac:dyDescent="0.3">
      <c r="B26" s="59"/>
      <c r="C26" s="59"/>
      <c r="H26" s="57"/>
      <c r="K26" s="52" t="s">
        <v>0</v>
      </c>
      <c r="M26" s="52" t="s">
        <v>10</v>
      </c>
      <c r="N26" s="52" t="s">
        <v>9</v>
      </c>
      <c r="O26" s="134">
        <f>SUM(O24:O25)</f>
        <v>18500</v>
      </c>
    </row>
    <row r="27" spans="2:16" ht="20.100000000000001" customHeight="1" x14ac:dyDescent="0.3"/>
    <row r="28" spans="2:16" ht="20.100000000000001" customHeight="1" x14ac:dyDescent="0.3">
      <c r="B28" s="54" t="s">
        <v>31</v>
      </c>
    </row>
    <row r="29" spans="2:16" ht="20.100000000000001" customHeight="1" x14ac:dyDescent="0.3"/>
    <row r="30" spans="2:16" ht="20.100000000000001" customHeight="1" x14ac:dyDescent="0.3">
      <c r="B30" s="55" t="s">
        <v>23</v>
      </c>
      <c r="C30" s="55" t="s">
        <v>334</v>
      </c>
      <c r="D30" s="55" t="s">
        <v>24</v>
      </c>
      <c r="E30" s="55" t="s">
        <v>25</v>
      </c>
      <c r="H30" s="64"/>
      <c r="J30" s="65"/>
      <c r="K30" s="65"/>
      <c r="M30" s="65"/>
      <c r="N30" s="65"/>
    </row>
    <row r="31" spans="2:16" ht="20.100000000000001" customHeight="1" x14ac:dyDescent="0.3">
      <c r="B31" s="55"/>
      <c r="C31" s="55" t="s">
        <v>26</v>
      </c>
      <c r="D31" s="55" t="s">
        <v>15</v>
      </c>
      <c r="E31" s="55"/>
      <c r="H31" s="64"/>
      <c r="J31" s="65"/>
      <c r="K31" s="65"/>
      <c r="M31" s="65"/>
      <c r="N31" s="65"/>
    </row>
    <row r="32" spans="2:16" ht="20.100000000000001" customHeight="1" x14ac:dyDescent="0.3">
      <c r="B32" s="59"/>
      <c r="C32" s="59"/>
      <c r="D32" s="52" t="s">
        <v>17</v>
      </c>
      <c r="H32" s="64">
        <v>1</v>
      </c>
      <c r="I32" s="52" t="s">
        <v>16</v>
      </c>
      <c r="J32" s="65" t="s">
        <v>8</v>
      </c>
      <c r="K32" s="65" t="s">
        <v>27</v>
      </c>
      <c r="L32" s="53">
        <f>'UPah &amp; Bahan oke'!H9</f>
        <v>110000</v>
      </c>
      <c r="M32" s="65" t="s">
        <v>10</v>
      </c>
      <c r="N32" s="65" t="s">
        <v>27</v>
      </c>
      <c r="O32" s="53">
        <f>+L32*H32</f>
        <v>110000</v>
      </c>
    </row>
    <row r="33" spans="2:15" ht="20.100000000000001" customHeight="1" x14ac:dyDescent="0.3">
      <c r="B33" s="59"/>
      <c r="C33" s="59"/>
      <c r="D33" s="52" t="s">
        <v>19</v>
      </c>
      <c r="H33" s="64">
        <v>2.5000000000000001E-2</v>
      </c>
      <c r="I33" s="52" t="s">
        <v>16</v>
      </c>
      <c r="J33" s="65" t="s">
        <v>8</v>
      </c>
      <c r="K33" s="65" t="s">
        <v>27</v>
      </c>
      <c r="L33" s="53">
        <f>'UPah &amp; Bahan oke'!H12</f>
        <v>150000</v>
      </c>
      <c r="M33" s="65" t="s">
        <v>10</v>
      </c>
      <c r="N33" s="65" t="s">
        <v>27</v>
      </c>
      <c r="O33" s="53">
        <f>+L33*H33</f>
        <v>3750</v>
      </c>
    </row>
    <row r="34" spans="2:15" ht="20.100000000000001" customHeight="1" x14ac:dyDescent="0.3">
      <c r="B34" s="59"/>
      <c r="C34" s="59"/>
      <c r="H34" s="64"/>
      <c r="J34" s="65"/>
      <c r="K34" s="52" t="s">
        <v>13</v>
      </c>
      <c r="M34" s="65" t="s">
        <v>10</v>
      </c>
      <c r="N34" s="65" t="s">
        <v>27</v>
      </c>
      <c r="O34" s="134">
        <f>SUM(O32:O33)</f>
        <v>113750</v>
      </c>
    </row>
    <row r="35" spans="2:15" ht="20.100000000000001" customHeight="1" x14ac:dyDescent="0.3">
      <c r="B35" s="59"/>
      <c r="C35" s="59"/>
      <c r="H35" s="64"/>
      <c r="J35" s="65"/>
      <c r="M35" s="65"/>
      <c r="N35" s="65"/>
      <c r="O35" s="66"/>
    </row>
    <row r="36" spans="2:15" ht="20.100000000000001" hidden="1" customHeight="1" x14ac:dyDescent="0.3">
      <c r="B36" s="55" t="s">
        <v>23</v>
      </c>
      <c r="C36" s="55" t="s">
        <v>335</v>
      </c>
      <c r="D36" s="55" t="s">
        <v>24</v>
      </c>
      <c r="E36" s="55" t="s">
        <v>28</v>
      </c>
      <c r="H36" s="64"/>
      <c r="J36" s="65"/>
      <c r="K36" s="65"/>
      <c r="L36" s="53" t="s">
        <v>29</v>
      </c>
      <c r="M36" s="65"/>
      <c r="N36" s="65"/>
    </row>
    <row r="37" spans="2:15" ht="20.100000000000001" hidden="1" customHeight="1" x14ac:dyDescent="0.3">
      <c r="B37" s="55"/>
      <c r="C37" s="55" t="s">
        <v>30</v>
      </c>
      <c r="D37" s="55" t="s">
        <v>15</v>
      </c>
      <c r="E37" s="55"/>
      <c r="H37" s="64"/>
      <c r="J37" s="65"/>
      <c r="K37" s="65"/>
      <c r="M37" s="65"/>
      <c r="N37" s="65"/>
    </row>
    <row r="38" spans="2:15" ht="20.100000000000001" hidden="1" customHeight="1" x14ac:dyDescent="0.3">
      <c r="B38" s="59"/>
      <c r="C38" s="59"/>
      <c r="D38" s="52" t="s">
        <v>17</v>
      </c>
      <c r="H38" s="64">
        <v>0.9</v>
      </c>
      <c r="I38" s="52" t="s">
        <v>16</v>
      </c>
      <c r="J38" s="65" t="s">
        <v>8</v>
      </c>
      <c r="K38" s="65" t="s">
        <v>27</v>
      </c>
      <c r="L38" s="53">
        <f>VLOOKUP(D38,'UPah &amp; Bahan oke'!$D$9:$H$169,5,0)</f>
        <v>110000</v>
      </c>
      <c r="M38" s="65" t="s">
        <v>10</v>
      </c>
      <c r="N38" s="65" t="s">
        <v>27</v>
      </c>
      <c r="O38" s="53">
        <f>+L38*H38</f>
        <v>99000</v>
      </c>
    </row>
    <row r="39" spans="2:15" ht="20.100000000000001" hidden="1" customHeight="1" x14ac:dyDescent="0.3">
      <c r="B39" s="59"/>
      <c r="C39" s="59"/>
      <c r="D39" s="52" t="s">
        <v>19</v>
      </c>
      <c r="H39" s="64">
        <v>4.4999999999999998E-2</v>
      </c>
      <c r="I39" s="52" t="s">
        <v>16</v>
      </c>
      <c r="J39" s="65" t="s">
        <v>8</v>
      </c>
      <c r="K39" s="65" t="s">
        <v>27</v>
      </c>
      <c r="L39" s="53">
        <f>VLOOKUP(D39,'UPah &amp; Bahan oke'!$D$9:$H$169,5,0)</f>
        <v>150000</v>
      </c>
      <c r="M39" s="65" t="s">
        <v>10</v>
      </c>
      <c r="N39" s="65" t="s">
        <v>27</v>
      </c>
      <c r="O39" s="53">
        <f>+L39*H39</f>
        <v>6750</v>
      </c>
    </row>
    <row r="40" spans="2:15" ht="20.100000000000001" hidden="1" customHeight="1" x14ac:dyDescent="0.3">
      <c r="B40" s="59"/>
      <c r="C40" s="59"/>
      <c r="H40" s="64"/>
      <c r="J40" s="65"/>
      <c r="K40" s="67" t="s">
        <v>13</v>
      </c>
      <c r="M40" s="65" t="s">
        <v>10</v>
      </c>
      <c r="N40" s="65" t="s">
        <v>27</v>
      </c>
      <c r="O40" s="134">
        <f>SUM(O38:O39)</f>
        <v>105750</v>
      </c>
    </row>
    <row r="41" spans="2:15" ht="20.100000000000001" hidden="1" customHeight="1" x14ac:dyDescent="0.3"/>
    <row r="42" spans="2:15" ht="20.100000000000001" customHeight="1" x14ac:dyDescent="0.3">
      <c r="B42" s="55" t="s">
        <v>23</v>
      </c>
      <c r="C42" s="55" t="s">
        <v>336</v>
      </c>
      <c r="D42" s="55" t="s">
        <v>24</v>
      </c>
      <c r="E42" s="55" t="s">
        <v>33</v>
      </c>
      <c r="H42" s="64"/>
      <c r="J42" s="65"/>
      <c r="K42" s="65"/>
      <c r="M42" s="65"/>
      <c r="N42" s="65"/>
    </row>
    <row r="43" spans="2:15" ht="20.100000000000001" customHeight="1" x14ac:dyDescent="0.3">
      <c r="B43" s="55"/>
      <c r="C43" s="55" t="s">
        <v>34</v>
      </c>
      <c r="D43" s="55" t="s">
        <v>35</v>
      </c>
      <c r="E43" s="55"/>
      <c r="H43" s="64"/>
      <c r="J43" s="65"/>
      <c r="K43" s="65"/>
      <c r="M43" s="65"/>
      <c r="N43" s="65"/>
    </row>
    <row r="44" spans="2:15" ht="20.100000000000001" customHeight="1" x14ac:dyDescent="0.3">
      <c r="B44" s="59"/>
      <c r="C44" s="59"/>
      <c r="D44" s="52" t="s">
        <v>17</v>
      </c>
      <c r="H44" s="64">
        <v>0.25</v>
      </c>
      <c r="I44" s="52" t="s">
        <v>16</v>
      </c>
      <c r="J44" s="65" t="s">
        <v>8</v>
      </c>
      <c r="K44" s="65" t="s">
        <v>27</v>
      </c>
      <c r="L44" s="53">
        <f>'UPah &amp; Bahan oke'!H9</f>
        <v>110000</v>
      </c>
      <c r="M44" s="65" t="s">
        <v>10</v>
      </c>
      <c r="N44" s="65" t="s">
        <v>27</v>
      </c>
      <c r="O44" s="53">
        <f>+L44*H44</f>
        <v>27500</v>
      </c>
    </row>
    <row r="45" spans="2:15" ht="20.100000000000001" customHeight="1" x14ac:dyDescent="0.3">
      <c r="B45" s="59"/>
      <c r="C45" s="59"/>
      <c r="D45" s="52" t="s">
        <v>19</v>
      </c>
      <c r="H45" s="64">
        <v>8.0000000000000002E-3</v>
      </c>
      <c r="I45" s="52" t="s">
        <v>16</v>
      </c>
      <c r="J45" s="65" t="s">
        <v>8</v>
      </c>
      <c r="K45" s="65" t="s">
        <v>27</v>
      </c>
      <c r="L45" s="53">
        <f>'UPah &amp; Bahan oke'!H12</f>
        <v>150000</v>
      </c>
      <c r="M45" s="65" t="s">
        <v>10</v>
      </c>
      <c r="N45" s="65" t="s">
        <v>27</v>
      </c>
      <c r="O45" s="53">
        <f>+L45*H45</f>
        <v>1200</v>
      </c>
    </row>
    <row r="46" spans="2:15" ht="20.100000000000001" customHeight="1" x14ac:dyDescent="0.3">
      <c r="B46" s="59"/>
      <c r="C46" s="59"/>
      <c r="H46" s="64"/>
      <c r="J46" s="65"/>
      <c r="K46" s="67" t="s">
        <v>0</v>
      </c>
      <c r="M46" s="65" t="s">
        <v>10</v>
      </c>
      <c r="N46" s="65" t="s">
        <v>27</v>
      </c>
      <c r="O46" s="134">
        <f>SUM(O44:O45)</f>
        <v>28700</v>
      </c>
    </row>
    <row r="47" spans="2:15" ht="20.100000000000001" customHeight="1" x14ac:dyDescent="0.3"/>
    <row r="48" spans="2:15" ht="20.100000000000001" customHeight="1" x14ac:dyDescent="0.3">
      <c r="B48" s="55" t="s">
        <v>23</v>
      </c>
      <c r="C48" s="55" t="s">
        <v>38</v>
      </c>
      <c r="D48" s="55" t="s">
        <v>24</v>
      </c>
      <c r="E48" s="55" t="s">
        <v>537</v>
      </c>
      <c r="H48" s="64"/>
      <c r="J48" s="65"/>
      <c r="K48" s="65"/>
      <c r="M48" s="65"/>
      <c r="N48" s="65"/>
    </row>
    <row r="49" spans="2:15" ht="20.100000000000001" customHeight="1" x14ac:dyDescent="0.3">
      <c r="B49" s="55"/>
      <c r="C49" s="55" t="s">
        <v>39</v>
      </c>
      <c r="D49" s="55" t="s">
        <v>5</v>
      </c>
      <c r="E49" s="55"/>
      <c r="H49" s="64"/>
      <c r="J49" s="65"/>
      <c r="K49" s="65"/>
      <c r="M49" s="65"/>
      <c r="N49" s="65"/>
    </row>
    <row r="50" spans="2:15" ht="20.100000000000001" customHeight="1" x14ac:dyDescent="0.3">
      <c r="B50" s="59"/>
      <c r="C50" s="59" t="s">
        <v>29</v>
      </c>
      <c r="D50" s="52" t="s">
        <v>159</v>
      </c>
      <c r="H50" s="68">
        <v>1.2</v>
      </c>
      <c r="I50" s="52" t="s">
        <v>37</v>
      </c>
      <c r="J50" s="65" t="s">
        <v>8</v>
      </c>
      <c r="K50" s="65" t="s">
        <v>27</v>
      </c>
      <c r="L50" s="53">
        <f>'UPah &amp; Bahan oke'!H30</f>
        <v>100000</v>
      </c>
      <c r="M50" s="65" t="s">
        <v>10</v>
      </c>
      <c r="N50" s="65" t="s">
        <v>27</v>
      </c>
      <c r="O50" s="53">
        <f>+L50*H50</f>
        <v>120000</v>
      </c>
    </row>
    <row r="51" spans="2:15" ht="20.100000000000001" customHeight="1" x14ac:dyDescent="0.3">
      <c r="B51" s="59"/>
      <c r="C51" s="59"/>
      <c r="H51" s="64"/>
      <c r="J51" s="65"/>
      <c r="K51" s="67" t="s">
        <v>13</v>
      </c>
      <c r="M51" s="65" t="s">
        <v>10</v>
      </c>
      <c r="N51" s="65" t="s">
        <v>27</v>
      </c>
      <c r="O51" s="61">
        <f>SUM(O50)</f>
        <v>120000</v>
      </c>
    </row>
    <row r="52" spans="2:15" ht="20.100000000000001" customHeight="1" x14ac:dyDescent="0.3">
      <c r="B52" s="55"/>
      <c r="C52" s="55" t="s">
        <v>40</v>
      </c>
      <c r="D52" s="55" t="s">
        <v>15</v>
      </c>
      <c r="H52" s="64"/>
      <c r="J52" s="65"/>
      <c r="K52" s="65"/>
      <c r="M52" s="65"/>
      <c r="N52" s="65"/>
    </row>
    <row r="53" spans="2:15" ht="20.100000000000001" customHeight="1" x14ac:dyDescent="0.3">
      <c r="B53" s="59"/>
      <c r="C53" s="59"/>
      <c r="D53" s="52" t="s">
        <v>17</v>
      </c>
      <c r="H53" s="64">
        <v>0.3</v>
      </c>
      <c r="I53" s="52" t="s">
        <v>16</v>
      </c>
      <c r="J53" s="65" t="s">
        <v>8</v>
      </c>
      <c r="K53" s="65" t="s">
        <v>27</v>
      </c>
      <c r="L53" s="53">
        <f>'UPah &amp; Bahan oke'!H9</f>
        <v>110000</v>
      </c>
      <c r="M53" s="65" t="s">
        <v>10</v>
      </c>
      <c r="N53" s="65" t="s">
        <v>27</v>
      </c>
      <c r="O53" s="53">
        <f>+L53*H53</f>
        <v>33000</v>
      </c>
    </row>
    <row r="54" spans="2:15" ht="20.100000000000001" customHeight="1" x14ac:dyDescent="0.3">
      <c r="B54" s="59"/>
      <c r="C54" s="59"/>
      <c r="D54" s="52" t="s">
        <v>19</v>
      </c>
      <c r="H54" s="64">
        <v>0.01</v>
      </c>
      <c r="I54" s="52" t="s">
        <v>16</v>
      </c>
      <c r="J54" s="65" t="s">
        <v>8</v>
      </c>
      <c r="K54" s="65" t="s">
        <v>27</v>
      </c>
      <c r="L54" s="53">
        <f>'UPah &amp; Bahan oke'!H12</f>
        <v>150000</v>
      </c>
      <c r="M54" s="65" t="s">
        <v>10</v>
      </c>
      <c r="N54" s="65" t="s">
        <v>27</v>
      </c>
      <c r="O54" s="53">
        <f>+L54*H54</f>
        <v>1500</v>
      </c>
    </row>
    <row r="55" spans="2:15" ht="20.100000000000001" customHeight="1" x14ac:dyDescent="0.3">
      <c r="B55" s="59"/>
      <c r="C55" s="59"/>
      <c r="H55" s="64"/>
      <c r="J55" s="65"/>
      <c r="K55" s="67" t="s">
        <v>20</v>
      </c>
      <c r="M55" s="65" t="s">
        <v>10</v>
      </c>
      <c r="N55" s="65" t="s">
        <v>27</v>
      </c>
      <c r="O55" s="62">
        <f>SUM(O53:O54)</f>
        <v>34500</v>
      </c>
    </row>
    <row r="56" spans="2:15" ht="20.100000000000001" customHeight="1" x14ac:dyDescent="0.3">
      <c r="B56" s="59"/>
      <c r="C56" s="59"/>
      <c r="H56" s="64"/>
      <c r="J56" s="65"/>
      <c r="K56" s="67" t="s">
        <v>21</v>
      </c>
      <c r="M56" s="65" t="s">
        <v>10</v>
      </c>
      <c r="N56" s="65" t="s">
        <v>27</v>
      </c>
      <c r="O56" s="129">
        <f>O55+O51</f>
        <v>154500</v>
      </c>
    </row>
    <row r="57" spans="2:15" ht="20.100000000000001" customHeight="1" x14ac:dyDescent="0.3"/>
    <row r="58" spans="2:15" ht="20.100000000000001" customHeight="1" x14ac:dyDescent="0.3">
      <c r="B58" s="55" t="s">
        <v>23</v>
      </c>
      <c r="C58" s="55" t="s">
        <v>41</v>
      </c>
      <c r="D58" s="55" t="s">
        <v>24</v>
      </c>
      <c r="E58" s="55" t="s">
        <v>44</v>
      </c>
      <c r="H58" s="64"/>
      <c r="J58" s="65"/>
      <c r="K58" s="65"/>
      <c r="M58" s="65"/>
      <c r="N58" s="65"/>
    </row>
    <row r="59" spans="2:15" ht="20.100000000000001" customHeight="1" x14ac:dyDescent="0.3">
      <c r="B59" s="55"/>
      <c r="C59" s="55" t="s">
        <v>42</v>
      </c>
      <c r="D59" s="55" t="s">
        <v>5</v>
      </c>
      <c r="E59" s="55"/>
      <c r="H59" s="64"/>
      <c r="J59" s="65"/>
      <c r="K59" s="65"/>
      <c r="M59" s="65"/>
      <c r="N59" s="65"/>
    </row>
    <row r="60" spans="2:15" ht="20.100000000000001" customHeight="1" x14ac:dyDescent="0.3">
      <c r="B60" s="59"/>
      <c r="C60" s="59" t="s">
        <v>29</v>
      </c>
      <c r="D60" s="52" t="s">
        <v>152</v>
      </c>
      <c r="H60" s="68">
        <v>1.2</v>
      </c>
      <c r="I60" s="52" t="s">
        <v>37</v>
      </c>
      <c r="J60" s="65" t="s">
        <v>8</v>
      </c>
      <c r="K60" s="65" t="s">
        <v>27</v>
      </c>
      <c r="L60" s="53">
        <f>'UPah &amp; Bahan oke'!H17</f>
        <v>80000</v>
      </c>
      <c r="M60" s="65" t="s">
        <v>10</v>
      </c>
      <c r="N60" s="65" t="s">
        <v>27</v>
      </c>
      <c r="O60" s="53">
        <f>+L60*H60</f>
        <v>96000</v>
      </c>
    </row>
    <row r="61" spans="2:15" ht="20.100000000000001" customHeight="1" x14ac:dyDescent="0.3">
      <c r="B61" s="59"/>
      <c r="C61" s="59"/>
      <c r="H61" s="64"/>
      <c r="J61" s="65"/>
      <c r="K61" s="67" t="s">
        <v>13</v>
      </c>
      <c r="M61" s="65" t="s">
        <v>10</v>
      </c>
      <c r="N61" s="65" t="s">
        <v>27</v>
      </c>
      <c r="O61" s="61">
        <f>SUM(O60)</f>
        <v>96000</v>
      </c>
    </row>
    <row r="62" spans="2:15" ht="20.100000000000001" customHeight="1" x14ac:dyDescent="0.3">
      <c r="B62" s="55"/>
      <c r="C62" s="55" t="s">
        <v>43</v>
      </c>
      <c r="D62" s="55" t="s">
        <v>15</v>
      </c>
      <c r="H62" s="64"/>
      <c r="J62" s="65"/>
      <c r="K62" s="65"/>
      <c r="M62" s="65"/>
      <c r="N62" s="65"/>
    </row>
    <row r="63" spans="2:15" ht="20.100000000000001" customHeight="1" x14ac:dyDescent="0.3">
      <c r="B63" s="59"/>
      <c r="C63" s="59"/>
      <c r="D63" s="52" t="s">
        <v>17</v>
      </c>
      <c r="H63" s="64">
        <v>0.3</v>
      </c>
      <c r="I63" s="52" t="s">
        <v>16</v>
      </c>
      <c r="J63" s="65" t="s">
        <v>8</v>
      </c>
      <c r="K63" s="65" t="s">
        <v>27</v>
      </c>
      <c r="L63" s="53">
        <f>'UPah &amp; Bahan oke'!H9</f>
        <v>110000</v>
      </c>
      <c r="M63" s="65" t="s">
        <v>10</v>
      </c>
      <c r="N63" s="65" t="s">
        <v>27</v>
      </c>
      <c r="O63" s="53">
        <f>+L63*H63</f>
        <v>33000</v>
      </c>
    </row>
    <row r="64" spans="2:15" ht="20.100000000000001" customHeight="1" x14ac:dyDescent="0.3">
      <c r="B64" s="59"/>
      <c r="C64" s="59"/>
      <c r="D64" s="52" t="s">
        <v>19</v>
      </c>
      <c r="H64" s="64">
        <v>0.01</v>
      </c>
      <c r="I64" s="52" t="s">
        <v>16</v>
      </c>
      <c r="J64" s="65" t="s">
        <v>8</v>
      </c>
      <c r="K64" s="65" t="s">
        <v>27</v>
      </c>
      <c r="L64" s="53">
        <f>'UPah &amp; Bahan oke'!H12</f>
        <v>150000</v>
      </c>
      <c r="M64" s="65" t="s">
        <v>10</v>
      </c>
      <c r="N64" s="65" t="s">
        <v>27</v>
      </c>
      <c r="O64" s="53">
        <f>+L64*H64</f>
        <v>1500</v>
      </c>
    </row>
    <row r="65" spans="2:15" ht="20.100000000000001" customHeight="1" x14ac:dyDescent="0.3">
      <c r="B65" s="59"/>
      <c r="C65" s="59"/>
      <c r="H65" s="64"/>
      <c r="J65" s="65"/>
      <c r="K65" s="67" t="s">
        <v>20</v>
      </c>
      <c r="M65" s="65" t="s">
        <v>10</v>
      </c>
      <c r="N65" s="65" t="s">
        <v>27</v>
      </c>
      <c r="O65" s="62">
        <f>SUM(O63:O64)</f>
        <v>34500</v>
      </c>
    </row>
    <row r="66" spans="2:15" ht="20.100000000000001" customHeight="1" x14ac:dyDescent="0.3">
      <c r="B66" s="59"/>
      <c r="C66" s="59"/>
      <c r="H66" s="64"/>
      <c r="J66" s="65"/>
      <c r="K66" s="67" t="s">
        <v>21</v>
      </c>
      <c r="M66" s="65" t="s">
        <v>10</v>
      </c>
      <c r="N66" s="65" t="s">
        <v>27</v>
      </c>
      <c r="O66" s="129">
        <f>O65+O61</f>
        <v>130500</v>
      </c>
    </row>
    <row r="67" spans="2:15" ht="20.100000000000001" customHeight="1" x14ac:dyDescent="0.3"/>
    <row r="68" spans="2:15" ht="20.100000000000001" customHeight="1" x14ac:dyDescent="0.3">
      <c r="B68" s="54" t="s">
        <v>45</v>
      </c>
    </row>
    <row r="69" spans="2:15" ht="20.100000000000001" customHeight="1" x14ac:dyDescent="0.3"/>
    <row r="70" spans="2:15" ht="20.100000000000001" customHeight="1" x14ac:dyDescent="0.3">
      <c r="B70" s="55" t="s">
        <v>46</v>
      </c>
      <c r="C70" s="55" t="s">
        <v>335</v>
      </c>
      <c r="D70" s="55" t="s">
        <v>47</v>
      </c>
      <c r="E70" s="55" t="s">
        <v>48</v>
      </c>
      <c r="H70" s="57"/>
      <c r="J70" s="65"/>
      <c r="K70" s="65"/>
      <c r="M70" s="65"/>
      <c r="N70" s="65"/>
    </row>
    <row r="71" spans="2:15" ht="20.100000000000001" customHeight="1" x14ac:dyDescent="0.3">
      <c r="B71" s="55"/>
      <c r="C71" s="55" t="s">
        <v>30</v>
      </c>
      <c r="D71" s="55" t="s">
        <v>5</v>
      </c>
      <c r="E71" s="55"/>
      <c r="H71" s="57"/>
      <c r="J71" s="65"/>
      <c r="K71" s="65"/>
      <c r="M71" s="65"/>
      <c r="N71" s="65"/>
    </row>
    <row r="72" spans="2:15" ht="20.100000000000001" customHeight="1" x14ac:dyDescent="0.3">
      <c r="B72" s="59"/>
      <c r="C72" s="59"/>
      <c r="D72" s="60" t="s">
        <v>231</v>
      </c>
      <c r="H72" s="69">
        <v>1.2</v>
      </c>
      <c r="I72" s="52" t="s">
        <v>37</v>
      </c>
      <c r="J72" s="65" t="s">
        <v>8</v>
      </c>
      <c r="K72" s="65" t="s">
        <v>27</v>
      </c>
      <c r="L72" s="53">
        <f>'UPah &amp; Bahan oke'!H24</f>
        <v>300000</v>
      </c>
      <c r="M72" s="65" t="s">
        <v>10</v>
      </c>
      <c r="N72" s="65" t="s">
        <v>27</v>
      </c>
      <c r="O72" s="53">
        <f>+L72*H72</f>
        <v>360000</v>
      </c>
    </row>
    <row r="73" spans="2:15" ht="20.100000000000001" customHeight="1" x14ac:dyDescent="0.3">
      <c r="B73" s="59"/>
      <c r="C73" s="59"/>
      <c r="D73" s="52" t="s">
        <v>391</v>
      </c>
      <c r="H73" s="69">
        <v>163</v>
      </c>
      <c r="I73" s="52" t="s">
        <v>12</v>
      </c>
      <c r="J73" s="65" t="s">
        <v>8</v>
      </c>
      <c r="K73" s="65" t="s">
        <v>27</v>
      </c>
      <c r="L73" s="53">
        <f>'UPah &amp; Bahan oke'!H29</f>
        <v>1687.5</v>
      </c>
      <c r="M73" s="65" t="s">
        <v>10</v>
      </c>
      <c r="N73" s="65" t="s">
        <v>27</v>
      </c>
      <c r="O73" s="53">
        <f>+L73*H73</f>
        <v>275062.5</v>
      </c>
    </row>
    <row r="74" spans="2:15" ht="20.100000000000001" customHeight="1" x14ac:dyDescent="0.3">
      <c r="B74" s="59"/>
      <c r="C74" s="59"/>
      <c r="D74" s="52" t="s">
        <v>49</v>
      </c>
      <c r="H74" s="57">
        <v>0.52</v>
      </c>
      <c r="I74" s="52" t="s">
        <v>37</v>
      </c>
      <c r="J74" s="65" t="s">
        <v>8</v>
      </c>
      <c r="K74" s="65" t="s">
        <v>27</v>
      </c>
      <c r="L74" s="53">
        <f>'UPah &amp; Bahan oke'!H18</f>
        <v>185000</v>
      </c>
      <c r="M74" s="65" t="s">
        <v>10</v>
      </c>
      <c r="N74" s="65" t="s">
        <v>27</v>
      </c>
      <c r="O74" s="53">
        <f>+L74*H74</f>
        <v>96200</v>
      </c>
    </row>
    <row r="75" spans="2:15" ht="20.100000000000001" customHeight="1" x14ac:dyDescent="0.3">
      <c r="B75" s="59"/>
      <c r="C75" s="59"/>
      <c r="H75" s="57"/>
      <c r="J75" s="65"/>
      <c r="K75" s="52" t="s">
        <v>13</v>
      </c>
      <c r="M75" s="65" t="s">
        <v>10</v>
      </c>
      <c r="N75" s="65" t="s">
        <v>27</v>
      </c>
      <c r="O75" s="70">
        <f>SUM(O72:O74)</f>
        <v>731262.5</v>
      </c>
    </row>
    <row r="76" spans="2:15" ht="20.100000000000001" customHeight="1" x14ac:dyDescent="0.3">
      <c r="B76" s="55"/>
      <c r="C76" s="55" t="s">
        <v>50</v>
      </c>
      <c r="D76" s="55" t="s">
        <v>15</v>
      </c>
      <c r="E76" s="55"/>
      <c r="H76" s="57"/>
      <c r="J76" s="65"/>
      <c r="K76" s="65"/>
      <c r="M76" s="65"/>
      <c r="N76" s="65"/>
    </row>
    <row r="77" spans="2:15" ht="20.100000000000001" customHeight="1" x14ac:dyDescent="0.3">
      <c r="B77" s="59"/>
      <c r="C77" s="59"/>
      <c r="D77" s="52" t="s">
        <v>17</v>
      </c>
      <c r="H77" s="69">
        <v>1.5</v>
      </c>
      <c r="I77" s="52" t="s">
        <v>16</v>
      </c>
      <c r="J77" s="65" t="s">
        <v>8</v>
      </c>
      <c r="K77" s="65" t="s">
        <v>27</v>
      </c>
      <c r="L77" s="53">
        <f>'UPah &amp; Bahan oke'!H9</f>
        <v>110000</v>
      </c>
      <c r="M77" s="65" t="s">
        <v>10</v>
      </c>
      <c r="N77" s="65" t="s">
        <v>27</v>
      </c>
      <c r="O77" s="53">
        <f>+L77*H77</f>
        <v>165000</v>
      </c>
    </row>
    <row r="78" spans="2:15" ht="20.100000000000001" customHeight="1" x14ac:dyDescent="0.3">
      <c r="B78" s="59"/>
      <c r="C78" s="59"/>
      <c r="D78" s="52" t="s">
        <v>103</v>
      </c>
      <c r="H78" s="57">
        <v>0.45</v>
      </c>
      <c r="I78" s="52" t="s">
        <v>16</v>
      </c>
      <c r="J78" s="65" t="s">
        <v>8</v>
      </c>
      <c r="K78" s="65" t="s">
        <v>27</v>
      </c>
      <c r="L78" s="53">
        <f>'UPah &amp; Bahan oke'!H10</f>
        <v>153000</v>
      </c>
      <c r="M78" s="65" t="s">
        <v>10</v>
      </c>
      <c r="N78" s="65" t="s">
        <v>27</v>
      </c>
      <c r="O78" s="53">
        <f>+L78*H78</f>
        <v>68850</v>
      </c>
    </row>
    <row r="79" spans="2:15" ht="20.100000000000001" customHeight="1" x14ac:dyDescent="0.3">
      <c r="B79" s="59"/>
      <c r="C79" s="59"/>
      <c r="D79" s="52" t="s">
        <v>18</v>
      </c>
      <c r="H79" s="57">
        <v>7.4999999999999997E-2</v>
      </c>
      <c r="I79" s="52" t="s">
        <v>16</v>
      </c>
      <c r="J79" s="65" t="s">
        <v>8</v>
      </c>
      <c r="K79" s="65" t="s">
        <v>27</v>
      </c>
      <c r="L79" s="53">
        <f>'UPah &amp; Bahan oke'!H11</f>
        <v>170000</v>
      </c>
      <c r="M79" s="65" t="s">
        <v>10</v>
      </c>
      <c r="N79" s="65" t="s">
        <v>27</v>
      </c>
      <c r="O79" s="53">
        <f>+L79*H79</f>
        <v>12750</v>
      </c>
    </row>
    <row r="80" spans="2:15" ht="20.100000000000001" customHeight="1" x14ac:dyDescent="0.3">
      <c r="B80" s="59"/>
      <c r="C80" s="59"/>
      <c r="D80" s="52" t="s">
        <v>19</v>
      </c>
      <c r="H80" s="57">
        <v>7.4999999999999997E-2</v>
      </c>
      <c r="I80" s="52" t="s">
        <v>16</v>
      </c>
      <c r="J80" s="65" t="s">
        <v>8</v>
      </c>
      <c r="K80" s="65" t="s">
        <v>27</v>
      </c>
      <c r="L80" s="53">
        <f>'UPah &amp; Bahan oke'!H12</f>
        <v>150000</v>
      </c>
      <c r="M80" s="65" t="s">
        <v>10</v>
      </c>
      <c r="N80" s="65" t="s">
        <v>27</v>
      </c>
      <c r="O80" s="53">
        <f>+L80*H80</f>
        <v>11250</v>
      </c>
    </row>
    <row r="81" spans="2:15" ht="20.100000000000001" customHeight="1" x14ac:dyDescent="0.3">
      <c r="B81" s="59"/>
      <c r="C81" s="59"/>
      <c r="H81" s="57"/>
      <c r="J81" s="65"/>
      <c r="K81" s="52" t="s">
        <v>20</v>
      </c>
      <c r="M81" s="65" t="s">
        <v>10</v>
      </c>
      <c r="N81" s="65" t="s">
        <v>27</v>
      </c>
      <c r="O81" s="62">
        <f>SUM(O77:O80)</f>
        <v>257850</v>
      </c>
    </row>
    <row r="82" spans="2:15" ht="20.100000000000001" customHeight="1" x14ac:dyDescent="0.3">
      <c r="B82" s="59"/>
      <c r="C82" s="59"/>
      <c r="H82" s="57"/>
      <c r="J82" s="65"/>
      <c r="K82" s="52" t="s">
        <v>52</v>
      </c>
      <c r="M82" s="65" t="s">
        <v>10</v>
      </c>
      <c r="N82" s="65" t="s">
        <v>27</v>
      </c>
      <c r="O82" s="129">
        <f>O81+O75</f>
        <v>989112.5</v>
      </c>
    </row>
    <row r="83" spans="2:15" ht="20.100000000000001" customHeight="1" x14ac:dyDescent="0.3"/>
    <row r="84" spans="2:15" ht="20.100000000000001" customHeight="1" x14ac:dyDescent="0.3">
      <c r="B84" s="55" t="s">
        <v>46</v>
      </c>
      <c r="C84" s="55" t="s">
        <v>330</v>
      </c>
      <c r="D84" s="55" t="s">
        <v>47</v>
      </c>
      <c r="E84" s="55" t="s">
        <v>53</v>
      </c>
      <c r="H84" s="57"/>
      <c r="J84" s="65"/>
      <c r="K84" s="65"/>
      <c r="M84" s="65"/>
      <c r="N84" s="65"/>
    </row>
    <row r="85" spans="2:15" ht="20.100000000000001" customHeight="1" x14ac:dyDescent="0.3">
      <c r="B85" s="55"/>
      <c r="C85" s="55" t="s">
        <v>4</v>
      </c>
      <c r="D85" s="55" t="s">
        <v>5</v>
      </c>
      <c r="E85" s="55"/>
      <c r="H85" s="57"/>
      <c r="J85" s="65"/>
      <c r="K85" s="65"/>
      <c r="M85" s="65"/>
      <c r="N85" s="65"/>
    </row>
    <row r="86" spans="2:15" ht="20.100000000000001" customHeight="1" x14ac:dyDescent="0.3">
      <c r="B86" s="59"/>
      <c r="C86" s="59"/>
      <c r="D86" s="60" t="s">
        <v>139</v>
      </c>
      <c r="H86" s="69">
        <v>1.2</v>
      </c>
      <c r="I86" s="52" t="s">
        <v>37</v>
      </c>
      <c r="J86" s="65" t="s">
        <v>8</v>
      </c>
      <c r="K86" s="65" t="s">
        <v>27</v>
      </c>
      <c r="L86" s="53">
        <f>'UPah &amp; Bahan oke'!H23</f>
        <v>300000</v>
      </c>
      <c r="M86" s="65" t="s">
        <v>10</v>
      </c>
      <c r="N86" s="65" t="s">
        <v>27</v>
      </c>
      <c r="O86" s="53">
        <f>+L86*H86</f>
        <v>360000</v>
      </c>
    </row>
    <row r="87" spans="2:15" ht="20.100000000000001" customHeight="1" x14ac:dyDescent="0.3">
      <c r="B87" s="59"/>
      <c r="C87" s="59"/>
      <c r="D87" s="60" t="s">
        <v>36</v>
      </c>
      <c r="H87" s="57">
        <v>0.3</v>
      </c>
      <c r="I87" s="52" t="s">
        <v>37</v>
      </c>
      <c r="J87" s="65" t="s">
        <v>8</v>
      </c>
      <c r="K87" s="65" t="s">
        <v>27</v>
      </c>
      <c r="L87" s="53">
        <f>'UPah &amp; Bahan oke'!H17</f>
        <v>80000</v>
      </c>
      <c r="M87" s="65" t="s">
        <v>10</v>
      </c>
      <c r="N87" s="65" t="s">
        <v>27</v>
      </c>
      <c r="O87" s="53">
        <f>+L87*H87</f>
        <v>24000</v>
      </c>
    </row>
    <row r="88" spans="2:15" ht="20.100000000000001" customHeight="1" x14ac:dyDescent="0.3">
      <c r="B88" s="59"/>
      <c r="C88" s="59"/>
      <c r="H88" s="57"/>
      <c r="J88" s="65"/>
      <c r="K88" s="52" t="s">
        <v>13</v>
      </c>
      <c r="M88" s="65" t="s">
        <v>10</v>
      </c>
      <c r="N88" s="65" t="s">
        <v>27</v>
      </c>
      <c r="O88" s="61">
        <f>SUM(O86:O87)</f>
        <v>384000</v>
      </c>
    </row>
    <row r="89" spans="2:15" ht="20.100000000000001" customHeight="1" x14ac:dyDescent="0.3">
      <c r="B89" s="55"/>
      <c r="C89" s="55" t="s">
        <v>14</v>
      </c>
      <c r="D89" s="55" t="s">
        <v>15</v>
      </c>
      <c r="E89" s="55"/>
      <c r="H89" s="57"/>
      <c r="J89" s="65"/>
      <c r="K89" s="65"/>
      <c r="M89" s="65"/>
      <c r="N89" s="65"/>
    </row>
    <row r="90" spans="2:15" ht="20.100000000000001" customHeight="1" x14ac:dyDescent="0.3">
      <c r="B90" s="59"/>
      <c r="C90" s="59"/>
      <c r="D90" s="52" t="s">
        <v>17</v>
      </c>
      <c r="H90" s="69">
        <v>0.78</v>
      </c>
      <c r="I90" s="52" t="s">
        <v>16</v>
      </c>
      <c r="J90" s="65" t="s">
        <v>8</v>
      </c>
      <c r="K90" s="65" t="s">
        <v>27</v>
      </c>
      <c r="L90" s="53">
        <f>'UPah &amp; Bahan oke'!H9</f>
        <v>110000</v>
      </c>
      <c r="M90" s="65" t="s">
        <v>10</v>
      </c>
      <c r="N90" s="65" t="s">
        <v>27</v>
      </c>
      <c r="O90" s="53">
        <f>+L90*H90</f>
        <v>85800</v>
      </c>
    </row>
    <row r="91" spans="2:15" ht="20.100000000000001" customHeight="1" x14ac:dyDescent="0.3">
      <c r="B91" s="59"/>
      <c r="C91" s="59"/>
      <c r="D91" s="52" t="s">
        <v>103</v>
      </c>
      <c r="H91" s="57">
        <v>0.39</v>
      </c>
      <c r="I91" s="52" t="s">
        <v>16</v>
      </c>
      <c r="J91" s="65" t="s">
        <v>8</v>
      </c>
      <c r="K91" s="65" t="s">
        <v>27</v>
      </c>
      <c r="L91" s="53">
        <f>'UPah &amp; Bahan oke'!H10</f>
        <v>153000</v>
      </c>
      <c r="M91" s="65" t="s">
        <v>10</v>
      </c>
      <c r="N91" s="65" t="s">
        <v>27</v>
      </c>
      <c r="O91" s="53">
        <f>+L91*H91</f>
        <v>59670</v>
      </c>
    </row>
    <row r="92" spans="2:15" ht="20.100000000000001" customHeight="1" x14ac:dyDescent="0.3">
      <c r="B92" s="59"/>
      <c r="C92" s="59"/>
      <c r="D92" s="52" t="s">
        <v>18</v>
      </c>
      <c r="H92" s="57">
        <v>3.9E-2</v>
      </c>
      <c r="I92" s="52" t="s">
        <v>16</v>
      </c>
      <c r="J92" s="65" t="s">
        <v>8</v>
      </c>
      <c r="K92" s="65" t="s">
        <v>27</v>
      </c>
      <c r="L92" s="53">
        <f>'UPah &amp; Bahan oke'!H11</f>
        <v>170000</v>
      </c>
      <c r="M92" s="65" t="s">
        <v>10</v>
      </c>
      <c r="N92" s="65" t="s">
        <v>27</v>
      </c>
      <c r="O92" s="53">
        <f>+L92*H92</f>
        <v>6630</v>
      </c>
    </row>
    <row r="93" spans="2:15" ht="20.100000000000001" customHeight="1" x14ac:dyDescent="0.3">
      <c r="B93" s="59"/>
      <c r="C93" s="59"/>
      <c r="D93" s="52" t="s">
        <v>19</v>
      </c>
      <c r="H93" s="57">
        <v>6.9000000000000006E-2</v>
      </c>
      <c r="I93" s="52" t="s">
        <v>16</v>
      </c>
      <c r="J93" s="65" t="s">
        <v>8</v>
      </c>
      <c r="K93" s="65" t="s">
        <v>27</v>
      </c>
      <c r="L93" s="53">
        <f>'UPah &amp; Bahan oke'!H12</f>
        <v>150000</v>
      </c>
      <c r="M93" s="65" t="s">
        <v>10</v>
      </c>
      <c r="N93" s="65" t="s">
        <v>27</v>
      </c>
      <c r="O93" s="53">
        <f>+L93*H93</f>
        <v>10350</v>
      </c>
    </row>
    <row r="94" spans="2:15" ht="20.100000000000001" customHeight="1" x14ac:dyDescent="0.3">
      <c r="B94" s="59"/>
      <c r="C94" s="59"/>
      <c r="H94" s="57"/>
      <c r="J94" s="65"/>
      <c r="K94" s="52" t="s">
        <v>20</v>
      </c>
      <c r="M94" s="65" t="s">
        <v>10</v>
      </c>
      <c r="N94" s="65" t="s">
        <v>27</v>
      </c>
      <c r="O94" s="62">
        <f>SUM(O90:O93)</f>
        <v>162450</v>
      </c>
    </row>
    <row r="95" spans="2:15" ht="20.100000000000001" customHeight="1" x14ac:dyDescent="0.3">
      <c r="B95" s="59"/>
      <c r="C95" s="59"/>
      <c r="H95" s="57"/>
      <c r="J95" s="65"/>
      <c r="K95" s="52" t="s">
        <v>52</v>
      </c>
      <c r="M95" s="65" t="s">
        <v>10</v>
      </c>
      <c r="N95" s="65" t="s">
        <v>27</v>
      </c>
      <c r="O95" s="129">
        <f>O94+O88</f>
        <v>546450</v>
      </c>
    </row>
    <row r="96" spans="2:15" ht="20.100000000000001" customHeight="1" x14ac:dyDescent="0.3"/>
    <row r="97" spans="2:15" ht="20.100000000000001" customHeight="1" x14ac:dyDescent="0.3">
      <c r="B97" s="54" t="s">
        <v>54</v>
      </c>
    </row>
    <row r="98" spans="2:15" ht="20.100000000000001" customHeight="1" x14ac:dyDescent="0.3"/>
    <row r="99" spans="2:15" ht="20.100000000000001" customHeight="1" x14ac:dyDescent="0.3">
      <c r="B99" s="55" t="s">
        <v>55</v>
      </c>
      <c r="C99" s="55" t="s">
        <v>337</v>
      </c>
      <c r="D99" s="55" t="s">
        <v>339</v>
      </c>
      <c r="E99" s="55" t="s">
        <v>340</v>
      </c>
      <c r="H99" s="57"/>
      <c r="I99" s="65"/>
      <c r="J99" s="65"/>
      <c r="K99" s="65"/>
      <c r="L99" s="71"/>
      <c r="M99" s="65"/>
      <c r="N99" s="65"/>
      <c r="O99" s="72"/>
    </row>
    <row r="100" spans="2:15" ht="20.100000000000001" customHeight="1" x14ac:dyDescent="0.3">
      <c r="B100" s="55"/>
      <c r="C100" s="55" t="s">
        <v>56</v>
      </c>
      <c r="D100" s="55" t="s">
        <v>5</v>
      </c>
      <c r="E100" s="55"/>
      <c r="H100" s="57"/>
      <c r="I100" s="65"/>
      <c r="J100" s="65"/>
      <c r="K100" s="65"/>
      <c r="L100" s="71"/>
      <c r="M100" s="65"/>
      <c r="N100" s="65"/>
      <c r="O100" s="72"/>
    </row>
    <row r="101" spans="2:15" ht="20.100000000000001" customHeight="1" x14ac:dyDescent="0.3">
      <c r="B101" s="59"/>
      <c r="C101" s="59"/>
      <c r="D101" s="60" t="s">
        <v>57</v>
      </c>
      <c r="H101" s="57">
        <v>70</v>
      </c>
      <c r="I101" s="65" t="s">
        <v>58</v>
      </c>
      <c r="J101" s="65" t="s">
        <v>8</v>
      </c>
      <c r="K101" s="65" t="s">
        <v>27</v>
      </c>
      <c r="L101" s="53">
        <f>'UPah &amp; Bahan oke'!H25</f>
        <v>700</v>
      </c>
      <c r="M101" s="65" t="s">
        <v>10</v>
      </c>
      <c r="N101" s="65" t="s">
        <v>9</v>
      </c>
      <c r="O101" s="72">
        <f>L101*H101</f>
        <v>49000</v>
      </c>
    </row>
    <row r="102" spans="2:15" ht="20.100000000000001" customHeight="1" x14ac:dyDescent="0.3">
      <c r="B102" s="59"/>
      <c r="C102" s="59"/>
      <c r="D102" s="52" t="s">
        <v>391</v>
      </c>
      <c r="H102" s="57">
        <v>18.95</v>
      </c>
      <c r="I102" s="65" t="s">
        <v>12</v>
      </c>
      <c r="J102" s="65" t="s">
        <v>8</v>
      </c>
      <c r="K102" s="65" t="s">
        <v>27</v>
      </c>
      <c r="L102" s="53">
        <f>'UPah &amp; Bahan oke'!H29</f>
        <v>1687.5</v>
      </c>
      <c r="M102" s="65" t="s">
        <v>10</v>
      </c>
      <c r="N102" s="65" t="s">
        <v>9</v>
      </c>
      <c r="O102" s="72">
        <f>L102*H102</f>
        <v>31978.125</v>
      </c>
    </row>
    <row r="103" spans="2:15" ht="20.100000000000001" customHeight="1" x14ac:dyDescent="0.3">
      <c r="B103" s="59"/>
      <c r="C103" s="59"/>
      <c r="D103" s="52" t="s">
        <v>60</v>
      </c>
      <c r="H103" s="57">
        <v>3.7999999999999999E-2</v>
      </c>
      <c r="I103" s="65" t="s">
        <v>37</v>
      </c>
      <c r="J103" s="65" t="s">
        <v>8</v>
      </c>
      <c r="K103" s="65" t="s">
        <v>27</v>
      </c>
      <c r="L103" s="53">
        <f>'UPah &amp; Bahan oke'!H18</f>
        <v>185000</v>
      </c>
      <c r="M103" s="65" t="s">
        <v>10</v>
      </c>
      <c r="N103" s="65" t="s">
        <v>9</v>
      </c>
      <c r="O103" s="72">
        <f>L103*H103</f>
        <v>7030</v>
      </c>
    </row>
    <row r="104" spans="2:15" ht="20.100000000000001" customHeight="1" x14ac:dyDescent="0.3">
      <c r="B104" s="59"/>
      <c r="C104" s="59"/>
      <c r="H104" s="57"/>
      <c r="I104" s="65"/>
      <c r="J104" s="65"/>
      <c r="K104" s="73" t="s">
        <v>13</v>
      </c>
      <c r="M104" s="65" t="s">
        <v>10</v>
      </c>
      <c r="N104" s="65" t="s">
        <v>9</v>
      </c>
      <c r="O104" s="74">
        <f>SUM(O101:O103)</f>
        <v>88008.125</v>
      </c>
    </row>
    <row r="105" spans="2:15" ht="20.100000000000001" customHeight="1" x14ac:dyDescent="0.3">
      <c r="B105" s="58"/>
      <c r="C105" s="58" t="s">
        <v>61</v>
      </c>
      <c r="D105" s="56" t="s">
        <v>15</v>
      </c>
      <c r="H105" s="57"/>
      <c r="I105" s="65"/>
      <c r="J105" s="65"/>
      <c r="K105" s="65"/>
      <c r="L105" s="71"/>
      <c r="M105" s="65"/>
      <c r="N105" s="65"/>
      <c r="O105" s="72"/>
    </row>
    <row r="106" spans="2:15" ht="20.100000000000001" customHeight="1" x14ac:dyDescent="0.3">
      <c r="B106" s="59"/>
      <c r="C106" s="59"/>
      <c r="D106" s="52" t="s">
        <v>17</v>
      </c>
      <c r="H106" s="57">
        <v>0.3</v>
      </c>
      <c r="I106" s="65" t="s">
        <v>16</v>
      </c>
      <c r="J106" s="65" t="s">
        <v>8</v>
      </c>
      <c r="K106" s="65" t="s">
        <v>27</v>
      </c>
      <c r="L106" s="71">
        <f>'UPah &amp; Bahan oke'!H9</f>
        <v>110000</v>
      </c>
      <c r="M106" s="65" t="s">
        <v>10</v>
      </c>
      <c r="N106" s="65" t="s">
        <v>9</v>
      </c>
      <c r="O106" s="72">
        <f>L106*H106</f>
        <v>33000</v>
      </c>
    </row>
    <row r="107" spans="2:15" ht="20.100000000000001" customHeight="1" x14ac:dyDescent="0.3">
      <c r="B107" s="59"/>
      <c r="C107" s="59"/>
      <c r="D107" s="52" t="s">
        <v>51</v>
      </c>
      <c r="H107" s="57">
        <v>0.1</v>
      </c>
      <c r="I107" s="65" t="s">
        <v>16</v>
      </c>
      <c r="J107" s="65" t="s">
        <v>8</v>
      </c>
      <c r="K107" s="65" t="s">
        <v>27</v>
      </c>
      <c r="L107" s="71">
        <f>'UPah &amp; Bahan oke'!H10</f>
        <v>153000</v>
      </c>
      <c r="M107" s="65" t="s">
        <v>10</v>
      </c>
      <c r="N107" s="65" t="s">
        <v>9</v>
      </c>
      <c r="O107" s="72">
        <f>L107*H107</f>
        <v>15300</v>
      </c>
    </row>
    <row r="108" spans="2:15" ht="20.100000000000001" customHeight="1" x14ac:dyDescent="0.3">
      <c r="B108" s="59"/>
      <c r="C108" s="59"/>
      <c r="D108" s="52" t="s">
        <v>18</v>
      </c>
      <c r="H108" s="57">
        <v>0.01</v>
      </c>
      <c r="I108" s="65" t="s">
        <v>16</v>
      </c>
      <c r="J108" s="65" t="s">
        <v>8</v>
      </c>
      <c r="K108" s="65" t="s">
        <v>27</v>
      </c>
      <c r="L108" s="71">
        <f>'UPah &amp; Bahan oke'!H11</f>
        <v>170000</v>
      </c>
      <c r="M108" s="65" t="s">
        <v>10</v>
      </c>
      <c r="N108" s="65" t="s">
        <v>9</v>
      </c>
      <c r="O108" s="72">
        <f>L108*H108</f>
        <v>1700</v>
      </c>
    </row>
    <row r="109" spans="2:15" ht="20.100000000000001" customHeight="1" x14ac:dyDescent="0.3">
      <c r="B109" s="59"/>
      <c r="C109" s="59"/>
      <c r="D109" s="52" t="s">
        <v>19</v>
      </c>
      <c r="H109" s="57">
        <v>1.4999999999999999E-2</v>
      </c>
      <c r="I109" s="65" t="s">
        <v>16</v>
      </c>
      <c r="J109" s="65" t="s">
        <v>8</v>
      </c>
      <c r="K109" s="65" t="s">
        <v>27</v>
      </c>
      <c r="L109" s="71">
        <f>'UPah &amp; Bahan oke'!H12</f>
        <v>150000</v>
      </c>
      <c r="M109" s="65" t="s">
        <v>10</v>
      </c>
      <c r="N109" s="65" t="s">
        <v>9</v>
      </c>
      <c r="O109" s="72">
        <f>L109*H109</f>
        <v>2250</v>
      </c>
    </row>
    <row r="110" spans="2:15" ht="20.100000000000001" customHeight="1" x14ac:dyDescent="0.3">
      <c r="B110" s="59"/>
      <c r="C110" s="59"/>
      <c r="H110" s="57"/>
      <c r="I110" s="65"/>
      <c r="J110" s="65"/>
      <c r="K110" s="73" t="s">
        <v>20</v>
      </c>
      <c r="M110" s="65" t="s">
        <v>10</v>
      </c>
      <c r="N110" s="65" t="s">
        <v>9</v>
      </c>
      <c r="O110" s="75">
        <f>SUM(O106:O109)</f>
        <v>52250</v>
      </c>
    </row>
    <row r="111" spans="2:15" ht="20.100000000000001" customHeight="1" x14ac:dyDescent="0.3">
      <c r="B111" s="59"/>
      <c r="C111" s="59"/>
      <c r="H111" s="57"/>
      <c r="I111" s="65"/>
      <c r="J111" s="65"/>
      <c r="K111" s="73" t="s">
        <v>21</v>
      </c>
      <c r="M111" s="65" t="s">
        <v>10</v>
      </c>
      <c r="N111" s="65" t="s">
        <v>9</v>
      </c>
      <c r="O111" s="133">
        <f>O110+O104</f>
        <v>140258.125</v>
      </c>
    </row>
    <row r="112" spans="2:15" ht="20.100000000000001" customHeight="1" x14ac:dyDescent="0.3"/>
    <row r="113" spans="2:15" ht="20.100000000000001" customHeight="1" x14ac:dyDescent="0.3">
      <c r="B113" s="55" t="s">
        <v>55</v>
      </c>
      <c r="C113" s="76" t="s">
        <v>336</v>
      </c>
      <c r="D113" s="55" t="s">
        <v>339</v>
      </c>
      <c r="E113" s="55" t="s">
        <v>341</v>
      </c>
      <c r="H113" s="57"/>
      <c r="I113" s="65"/>
      <c r="J113" s="65"/>
      <c r="K113" s="65"/>
      <c r="L113" s="71"/>
      <c r="M113" s="65"/>
      <c r="N113" s="65"/>
      <c r="O113" s="72"/>
    </row>
    <row r="114" spans="2:15" ht="20.100000000000001" customHeight="1" x14ac:dyDescent="0.3">
      <c r="B114" s="55"/>
      <c r="C114" s="55" t="s">
        <v>62</v>
      </c>
      <c r="D114" s="55" t="s">
        <v>5</v>
      </c>
      <c r="E114" s="55"/>
      <c r="H114" s="57"/>
      <c r="I114" s="65"/>
      <c r="J114" s="65"/>
      <c r="K114" s="65"/>
      <c r="L114" s="71"/>
      <c r="M114" s="65"/>
      <c r="N114" s="65"/>
      <c r="O114" s="72"/>
    </row>
    <row r="115" spans="2:15" ht="20.100000000000001" customHeight="1" x14ac:dyDescent="0.3">
      <c r="B115" s="59"/>
      <c r="C115" s="59"/>
      <c r="D115" s="60" t="s">
        <v>57</v>
      </c>
      <c r="H115" s="57">
        <v>70</v>
      </c>
      <c r="I115" s="65" t="s">
        <v>58</v>
      </c>
      <c r="J115" s="65" t="s">
        <v>8</v>
      </c>
      <c r="K115" s="65" t="s">
        <v>27</v>
      </c>
      <c r="L115" s="53">
        <f>'UPah &amp; Bahan oke'!H25</f>
        <v>700</v>
      </c>
      <c r="M115" s="65" t="s">
        <v>10</v>
      </c>
      <c r="N115" s="65" t="s">
        <v>9</v>
      </c>
      <c r="O115" s="72">
        <f>L115*H115</f>
        <v>49000</v>
      </c>
    </row>
    <row r="116" spans="2:15" ht="20.100000000000001" customHeight="1" x14ac:dyDescent="0.3">
      <c r="B116" s="59"/>
      <c r="C116" s="59"/>
      <c r="D116" s="52" t="s">
        <v>391</v>
      </c>
      <c r="H116" s="57">
        <v>11.5</v>
      </c>
      <c r="I116" s="65" t="s">
        <v>12</v>
      </c>
      <c r="J116" s="65" t="s">
        <v>8</v>
      </c>
      <c r="K116" s="65" t="s">
        <v>27</v>
      </c>
      <c r="L116" s="53">
        <f>'UPah &amp; Bahan oke'!H29</f>
        <v>1687.5</v>
      </c>
      <c r="M116" s="65" t="s">
        <v>10</v>
      </c>
      <c r="N116" s="65" t="s">
        <v>9</v>
      </c>
      <c r="O116" s="72">
        <f>L116*H116</f>
        <v>19406.25</v>
      </c>
    </row>
    <row r="117" spans="2:15" ht="20.100000000000001" customHeight="1" x14ac:dyDescent="0.3">
      <c r="B117" s="59"/>
      <c r="C117" s="59"/>
      <c r="D117" s="52" t="s">
        <v>60</v>
      </c>
      <c r="H117" s="57">
        <v>4.2999999999999997E-2</v>
      </c>
      <c r="I117" s="65" t="s">
        <v>37</v>
      </c>
      <c r="J117" s="65" t="s">
        <v>8</v>
      </c>
      <c r="K117" s="65" t="s">
        <v>27</v>
      </c>
      <c r="L117" s="53">
        <f>'UPah &amp; Bahan oke'!H18</f>
        <v>185000</v>
      </c>
      <c r="M117" s="65" t="s">
        <v>10</v>
      </c>
      <c r="N117" s="65" t="s">
        <v>9</v>
      </c>
      <c r="O117" s="72">
        <f>L117*H117</f>
        <v>7954.9999999999991</v>
      </c>
    </row>
    <row r="118" spans="2:15" ht="20.100000000000001" customHeight="1" x14ac:dyDescent="0.3">
      <c r="B118" s="59"/>
      <c r="C118" s="59"/>
      <c r="H118" s="57"/>
      <c r="I118" s="65"/>
      <c r="J118" s="65"/>
      <c r="K118" s="73" t="s">
        <v>13</v>
      </c>
      <c r="M118" s="65" t="s">
        <v>10</v>
      </c>
      <c r="N118" s="65" t="s">
        <v>9</v>
      </c>
      <c r="O118" s="74">
        <f>SUM(O115:O117)</f>
        <v>76361.25</v>
      </c>
    </row>
    <row r="119" spans="2:15" ht="20.100000000000001" customHeight="1" x14ac:dyDescent="0.3">
      <c r="B119" s="55"/>
      <c r="C119" s="55" t="s">
        <v>63</v>
      </c>
      <c r="D119" s="55" t="s">
        <v>15</v>
      </c>
      <c r="H119" s="57"/>
      <c r="I119" s="65"/>
      <c r="J119" s="65"/>
      <c r="K119" s="65"/>
      <c r="L119" s="71"/>
      <c r="M119" s="65"/>
      <c r="N119" s="65"/>
      <c r="O119" s="72"/>
    </row>
    <row r="120" spans="2:15" ht="20.100000000000001" customHeight="1" x14ac:dyDescent="0.3">
      <c r="B120" s="59"/>
      <c r="C120" s="59"/>
      <c r="D120" s="52" t="s">
        <v>17</v>
      </c>
      <c r="H120" s="57">
        <v>0.3</v>
      </c>
      <c r="I120" s="65" t="s">
        <v>16</v>
      </c>
      <c r="J120" s="65" t="s">
        <v>8</v>
      </c>
      <c r="K120" s="65" t="s">
        <v>27</v>
      </c>
      <c r="L120" s="53">
        <f>'UPah &amp; Bahan oke'!H9</f>
        <v>110000</v>
      </c>
      <c r="M120" s="65" t="s">
        <v>10</v>
      </c>
      <c r="N120" s="65" t="s">
        <v>9</v>
      </c>
      <c r="O120" s="72">
        <f>L120*H120</f>
        <v>33000</v>
      </c>
    </row>
    <row r="121" spans="2:15" ht="20.100000000000001" customHeight="1" x14ac:dyDescent="0.3">
      <c r="B121" s="59"/>
      <c r="C121" s="59"/>
      <c r="D121" s="52" t="s">
        <v>103</v>
      </c>
      <c r="H121" s="57">
        <v>0.1</v>
      </c>
      <c r="I121" s="65" t="s">
        <v>16</v>
      </c>
      <c r="J121" s="65" t="s">
        <v>8</v>
      </c>
      <c r="K121" s="65" t="s">
        <v>27</v>
      </c>
      <c r="L121" s="53">
        <f>'UPah &amp; Bahan oke'!H10</f>
        <v>153000</v>
      </c>
      <c r="M121" s="65" t="s">
        <v>10</v>
      </c>
      <c r="N121" s="65" t="s">
        <v>9</v>
      </c>
      <c r="O121" s="72">
        <f>L121*H121</f>
        <v>15300</v>
      </c>
    </row>
    <row r="122" spans="2:15" ht="20.100000000000001" customHeight="1" x14ac:dyDescent="0.3">
      <c r="B122" s="59"/>
      <c r="C122" s="59"/>
      <c r="D122" s="52" t="s">
        <v>18</v>
      </c>
      <c r="H122" s="57">
        <v>0.01</v>
      </c>
      <c r="I122" s="65" t="s">
        <v>16</v>
      </c>
      <c r="J122" s="65" t="s">
        <v>8</v>
      </c>
      <c r="K122" s="65" t="s">
        <v>27</v>
      </c>
      <c r="L122" s="53">
        <f>'UPah &amp; Bahan oke'!H11</f>
        <v>170000</v>
      </c>
      <c r="M122" s="65" t="s">
        <v>10</v>
      </c>
      <c r="N122" s="65" t="s">
        <v>9</v>
      </c>
      <c r="O122" s="72">
        <f>L122*H122</f>
        <v>1700</v>
      </c>
    </row>
    <row r="123" spans="2:15" ht="20.100000000000001" customHeight="1" x14ac:dyDescent="0.3">
      <c r="B123" s="59"/>
      <c r="C123" s="59"/>
      <c r="D123" s="52" t="s">
        <v>19</v>
      </c>
      <c r="H123" s="57">
        <v>1.4999999999999999E-2</v>
      </c>
      <c r="I123" s="65" t="s">
        <v>16</v>
      </c>
      <c r="J123" s="65" t="s">
        <v>8</v>
      </c>
      <c r="K123" s="65" t="s">
        <v>27</v>
      </c>
      <c r="L123" s="53">
        <f>'UPah &amp; Bahan oke'!H12</f>
        <v>150000</v>
      </c>
      <c r="M123" s="65" t="s">
        <v>10</v>
      </c>
      <c r="N123" s="65" t="s">
        <v>9</v>
      </c>
      <c r="O123" s="72">
        <f>L123*H123</f>
        <v>2250</v>
      </c>
    </row>
    <row r="124" spans="2:15" ht="20.100000000000001" customHeight="1" x14ac:dyDescent="0.3">
      <c r="B124" s="59"/>
      <c r="C124" s="59"/>
      <c r="H124" s="57"/>
      <c r="I124" s="65"/>
      <c r="J124" s="65"/>
      <c r="K124" s="73" t="s">
        <v>20</v>
      </c>
      <c r="M124" s="65" t="s">
        <v>10</v>
      </c>
      <c r="N124" s="65" t="s">
        <v>9</v>
      </c>
      <c r="O124" s="75">
        <f>SUM(O120:O123)</f>
        <v>52250</v>
      </c>
    </row>
    <row r="125" spans="2:15" ht="20.100000000000001" customHeight="1" x14ac:dyDescent="0.3">
      <c r="B125" s="59"/>
      <c r="C125" s="59"/>
      <c r="H125" s="57"/>
      <c r="I125" s="65"/>
      <c r="J125" s="65"/>
      <c r="K125" s="73" t="s">
        <v>21</v>
      </c>
      <c r="M125" s="65" t="s">
        <v>10</v>
      </c>
      <c r="N125" s="65" t="s">
        <v>9</v>
      </c>
      <c r="O125" s="133">
        <f>O124+O118</f>
        <v>128611.25</v>
      </c>
    </row>
    <row r="126" spans="2:15" ht="20.100000000000001" customHeight="1" x14ac:dyDescent="0.3"/>
    <row r="127" spans="2:15" ht="20.100000000000001" hidden="1" customHeight="1" x14ac:dyDescent="0.3">
      <c r="B127" s="54" t="s">
        <v>64</v>
      </c>
    </row>
    <row r="128" spans="2:15" ht="20.100000000000001" hidden="1" customHeight="1" x14ac:dyDescent="0.3"/>
    <row r="129" spans="2:15" ht="20.100000000000001" hidden="1" customHeight="1" x14ac:dyDescent="0.3">
      <c r="B129" s="55" t="s">
        <v>65</v>
      </c>
      <c r="C129" s="55" t="s">
        <v>335</v>
      </c>
      <c r="D129" s="55" t="s">
        <v>342</v>
      </c>
      <c r="E129" s="55" t="s">
        <v>343</v>
      </c>
      <c r="H129" s="57"/>
      <c r="J129" s="65"/>
      <c r="K129" s="65"/>
      <c r="M129" s="65"/>
      <c r="N129" s="65"/>
    </row>
    <row r="130" spans="2:15" ht="20.100000000000001" hidden="1" customHeight="1" x14ac:dyDescent="0.3">
      <c r="B130" s="55"/>
      <c r="C130" s="55" t="s">
        <v>30</v>
      </c>
      <c r="D130" s="55" t="s">
        <v>5</v>
      </c>
      <c r="E130" s="55"/>
      <c r="H130" s="57"/>
      <c r="J130" s="65"/>
      <c r="K130" s="65"/>
      <c r="M130" s="65"/>
      <c r="N130" s="65"/>
    </row>
    <row r="131" spans="2:15" ht="20.100000000000001" hidden="1" customHeight="1" x14ac:dyDescent="0.3">
      <c r="B131" s="59"/>
      <c r="C131" s="59"/>
      <c r="D131" s="52" t="s">
        <v>59</v>
      </c>
      <c r="H131" s="57">
        <v>10.224</v>
      </c>
      <c r="I131" s="52" t="s">
        <v>12</v>
      </c>
      <c r="J131" s="65" t="s">
        <v>8</v>
      </c>
      <c r="K131" s="65" t="s">
        <v>27</v>
      </c>
      <c r="L131" s="53">
        <f>VLOOKUP(D131,'UPah &amp; Bahan oke'!$D$9:$H$169,5,0)</f>
        <v>1687.5</v>
      </c>
      <c r="M131" s="65" t="s">
        <v>10</v>
      </c>
      <c r="N131" s="65" t="s">
        <v>27</v>
      </c>
      <c r="O131" s="53">
        <f>+L131*H131</f>
        <v>17253</v>
      </c>
    </row>
    <row r="132" spans="2:15" ht="20.100000000000001" hidden="1" customHeight="1" x14ac:dyDescent="0.3">
      <c r="B132" s="59"/>
      <c r="C132" s="59"/>
      <c r="D132" s="52" t="s">
        <v>60</v>
      </c>
      <c r="H132" s="57">
        <v>0.02</v>
      </c>
      <c r="I132" s="52" t="s">
        <v>37</v>
      </c>
      <c r="J132" s="65" t="s">
        <v>8</v>
      </c>
      <c r="K132" s="65" t="s">
        <v>27</v>
      </c>
      <c r="L132" s="53">
        <f>VLOOKUP(D132,'UPah &amp; Bahan oke'!$D$9:$H$169,5,0)</f>
        <v>185000</v>
      </c>
      <c r="M132" s="65" t="s">
        <v>10</v>
      </c>
      <c r="N132" s="65" t="s">
        <v>27</v>
      </c>
      <c r="O132" s="77">
        <f>+L132*H132</f>
        <v>3700</v>
      </c>
    </row>
    <row r="133" spans="2:15" ht="20.100000000000001" hidden="1" customHeight="1" x14ac:dyDescent="0.3">
      <c r="B133" s="59"/>
      <c r="C133" s="59"/>
      <c r="H133" s="57"/>
      <c r="J133" s="65"/>
      <c r="K133" s="53" t="s">
        <v>13</v>
      </c>
      <c r="M133" s="65" t="s">
        <v>10</v>
      </c>
      <c r="N133" s="65" t="s">
        <v>27</v>
      </c>
      <c r="O133" s="53">
        <f>SUM(O131:O132)</f>
        <v>20953</v>
      </c>
    </row>
    <row r="134" spans="2:15" ht="20.100000000000001" hidden="1" customHeight="1" x14ac:dyDescent="0.3">
      <c r="B134" s="55"/>
      <c r="C134" s="55" t="s">
        <v>50</v>
      </c>
      <c r="D134" s="55" t="s">
        <v>15</v>
      </c>
      <c r="H134" s="57"/>
      <c r="J134" s="65"/>
      <c r="K134" s="65"/>
      <c r="M134" s="65"/>
      <c r="N134" s="65"/>
    </row>
    <row r="135" spans="2:15" ht="20.100000000000001" hidden="1" customHeight="1" x14ac:dyDescent="0.3">
      <c r="B135" s="59"/>
      <c r="C135" s="59"/>
      <c r="D135" s="52" t="s">
        <v>17</v>
      </c>
      <c r="H135" s="57">
        <v>0.3</v>
      </c>
      <c r="I135" s="52" t="s">
        <v>16</v>
      </c>
      <c r="J135" s="65" t="s">
        <v>8</v>
      </c>
      <c r="K135" s="65" t="s">
        <v>27</v>
      </c>
      <c r="L135" s="53">
        <f>VLOOKUP(D135,'UPah &amp; Bahan oke'!$D$9:$H$169,5,0)</f>
        <v>110000</v>
      </c>
      <c r="M135" s="65" t="s">
        <v>10</v>
      </c>
      <c r="N135" s="65" t="s">
        <v>27</v>
      </c>
      <c r="O135" s="53">
        <f>+L135*H135</f>
        <v>33000</v>
      </c>
    </row>
    <row r="136" spans="2:15" ht="20.100000000000001" hidden="1" customHeight="1" x14ac:dyDescent="0.3">
      <c r="B136" s="59"/>
      <c r="C136" s="59"/>
      <c r="D136" s="52" t="s">
        <v>103</v>
      </c>
      <c r="H136" s="57">
        <v>0.15</v>
      </c>
      <c r="I136" s="52" t="s">
        <v>16</v>
      </c>
      <c r="J136" s="65" t="s">
        <v>8</v>
      </c>
      <c r="K136" s="65" t="s">
        <v>27</v>
      </c>
      <c r="L136" s="53">
        <f>VLOOKUP(D136,'UPah &amp; Bahan oke'!$D$9:$H$169,5,0)</f>
        <v>153000</v>
      </c>
      <c r="M136" s="65" t="s">
        <v>10</v>
      </c>
      <c r="N136" s="65" t="s">
        <v>27</v>
      </c>
      <c r="O136" s="53">
        <f>+L136*H136</f>
        <v>22950</v>
      </c>
    </row>
    <row r="137" spans="2:15" ht="20.100000000000001" hidden="1" customHeight="1" x14ac:dyDescent="0.3">
      <c r="B137" s="59"/>
      <c r="C137" s="59"/>
      <c r="D137" s="52" t="s">
        <v>18</v>
      </c>
      <c r="H137" s="57">
        <v>1.4999999999999999E-2</v>
      </c>
      <c r="I137" s="52" t="s">
        <v>16</v>
      </c>
      <c r="J137" s="65" t="s">
        <v>8</v>
      </c>
      <c r="K137" s="65" t="s">
        <v>27</v>
      </c>
      <c r="L137" s="53">
        <f>VLOOKUP(D137,'UPah &amp; Bahan oke'!$D$9:$H$169,5,0)</f>
        <v>170000</v>
      </c>
      <c r="M137" s="65" t="s">
        <v>10</v>
      </c>
      <c r="N137" s="65" t="s">
        <v>27</v>
      </c>
      <c r="O137" s="53">
        <f>+L137*H137</f>
        <v>2550</v>
      </c>
    </row>
    <row r="138" spans="2:15" ht="20.100000000000001" hidden="1" customHeight="1" x14ac:dyDescent="0.3">
      <c r="B138" s="59"/>
      <c r="C138" s="59"/>
      <c r="D138" s="52" t="s">
        <v>19</v>
      </c>
      <c r="H138" s="57">
        <v>1.4999999999999999E-2</v>
      </c>
      <c r="I138" s="52" t="s">
        <v>16</v>
      </c>
      <c r="J138" s="65" t="s">
        <v>8</v>
      </c>
      <c r="K138" s="65" t="s">
        <v>27</v>
      </c>
      <c r="L138" s="53">
        <f>VLOOKUP(D138,'UPah &amp; Bahan oke'!$D$9:$H$169,5,0)</f>
        <v>150000</v>
      </c>
      <c r="M138" s="65" t="s">
        <v>10</v>
      </c>
      <c r="N138" s="65" t="s">
        <v>27</v>
      </c>
      <c r="O138" s="77">
        <f>+L138*H138</f>
        <v>2250</v>
      </c>
    </row>
    <row r="139" spans="2:15" ht="20.100000000000001" hidden="1" customHeight="1" x14ac:dyDescent="0.3">
      <c r="B139" s="59"/>
      <c r="C139" s="59"/>
      <c r="H139" s="57"/>
      <c r="J139" s="65"/>
      <c r="K139" s="53" t="s">
        <v>20</v>
      </c>
      <c r="M139" s="65" t="s">
        <v>10</v>
      </c>
      <c r="N139" s="65" t="s">
        <v>27</v>
      </c>
      <c r="O139" s="63">
        <f>SUM(O135:O138)</f>
        <v>60750</v>
      </c>
    </row>
    <row r="140" spans="2:15" ht="20.100000000000001" hidden="1" customHeight="1" x14ac:dyDescent="0.3">
      <c r="B140" s="59"/>
      <c r="C140" s="59"/>
      <c r="H140" s="57"/>
      <c r="J140" s="65"/>
      <c r="K140" s="53" t="s">
        <v>21</v>
      </c>
      <c r="M140" s="65" t="s">
        <v>10</v>
      </c>
      <c r="N140" s="65" t="s">
        <v>27</v>
      </c>
      <c r="O140" s="85">
        <f>+O139+O133</f>
        <v>81703</v>
      </c>
    </row>
    <row r="141" spans="2:15" ht="20.100000000000001" hidden="1" customHeight="1" x14ac:dyDescent="0.3"/>
    <row r="142" spans="2:15" ht="20.100000000000001" hidden="1" customHeight="1" x14ac:dyDescent="0.3">
      <c r="B142" s="55" t="s">
        <v>65</v>
      </c>
      <c r="C142" s="55" t="s">
        <v>338</v>
      </c>
      <c r="D142" s="55" t="s">
        <v>342</v>
      </c>
      <c r="E142" s="55" t="s">
        <v>344</v>
      </c>
      <c r="F142" s="55"/>
      <c r="H142" s="57"/>
      <c r="J142" s="65"/>
      <c r="K142" s="65"/>
      <c r="M142" s="65"/>
      <c r="N142" s="65"/>
    </row>
    <row r="143" spans="2:15" ht="20.100000000000001" hidden="1" customHeight="1" x14ac:dyDescent="0.3">
      <c r="B143" s="55"/>
      <c r="C143" s="55" t="s">
        <v>66</v>
      </c>
      <c r="D143" s="55" t="s">
        <v>5</v>
      </c>
      <c r="E143" s="55"/>
      <c r="F143" s="55"/>
      <c r="H143" s="57"/>
      <c r="J143" s="65"/>
      <c r="K143" s="65"/>
      <c r="M143" s="65"/>
      <c r="N143" s="65"/>
    </row>
    <row r="144" spans="2:15" ht="20.100000000000001" hidden="1" customHeight="1" x14ac:dyDescent="0.3">
      <c r="B144" s="59"/>
      <c r="C144" s="59"/>
      <c r="D144" s="52" t="s">
        <v>59</v>
      </c>
      <c r="H144" s="57">
        <v>7.7759999999999998</v>
      </c>
      <c r="I144" s="52" t="s">
        <v>12</v>
      </c>
      <c r="J144" s="65" t="s">
        <v>8</v>
      </c>
      <c r="K144" s="65" t="s">
        <v>27</v>
      </c>
      <c r="L144" s="53">
        <f>VLOOKUP(D144,'UPah &amp; Bahan oke'!$D$9:$H$169,5,0)</f>
        <v>1687.5</v>
      </c>
      <c r="M144" s="65" t="s">
        <v>10</v>
      </c>
      <c r="N144" s="65" t="s">
        <v>27</v>
      </c>
      <c r="O144" s="53">
        <f>+L144*H144</f>
        <v>13122</v>
      </c>
    </row>
    <row r="145" spans="2:15" ht="20.100000000000001" hidden="1" customHeight="1" x14ac:dyDescent="0.3">
      <c r="B145" s="59"/>
      <c r="C145" s="59"/>
      <c r="D145" s="52" t="s">
        <v>60</v>
      </c>
      <c r="H145" s="57">
        <v>2.3E-2</v>
      </c>
      <c r="I145" s="52" t="s">
        <v>37</v>
      </c>
      <c r="J145" s="65" t="s">
        <v>8</v>
      </c>
      <c r="K145" s="65" t="s">
        <v>27</v>
      </c>
      <c r="L145" s="53">
        <f>VLOOKUP(D145,'UPah &amp; Bahan oke'!$D$9:$H$169,5,0)</f>
        <v>185000</v>
      </c>
      <c r="M145" s="65" t="s">
        <v>10</v>
      </c>
      <c r="N145" s="65" t="s">
        <v>27</v>
      </c>
      <c r="O145" s="77">
        <f>+L145*H145</f>
        <v>4255</v>
      </c>
    </row>
    <row r="146" spans="2:15" ht="20.100000000000001" hidden="1" customHeight="1" x14ac:dyDescent="0.3">
      <c r="B146" s="59"/>
      <c r="C146" s="59"/>
      <c r="H146" s="57"/>
      <c r="J146" s="65"/>
      <c r="K146" s="53" t="s">
        <v>13</v>
      </c>
      <c r="M146" s="65" t="s">
        <v>10</v>
      </c>
      <c r="N146" s="65" t="s">
        <v>27</v>
      </c>
      <c r="O146" s="53">
        <f>SUM(O144:O145)</f>
        <v>17377</v>
      </c>
    </row>
    <row r="147" spans="2:15" ht="20.100000000000001" hidden="1" customHeight="1" x14ac:dyDescent="0.3">
      <c r="B147" s="55"/>
      <c r="C147" s="55" t="s">
        <v>67</v>
      </c>
      <c r="D147" s="55" t="s">
        <v>15</v>
      </c>
      <c r="H147" s="57"/>
      <c r="J147" s="65"/>
      <c r="K147" s="65"/>
      <c r="M147" s="65"/>
      <c r="N147" s="65"/>
    </row>
    <row r="148" spans="2:15" ht="20.100000000000001" hidden="1" customHeight="1" x14ac:dyDescent="0.3">
      <c r="B148" s="59"/>
      <c r="C148" s="59"/>
      <c r="D148" s="52" t="s">
        <v>17</v>
      </c>
      <c r="H148" s="57">
        <v>0.3</v>
      </c>
      <c r="I148" s="52" t="s">
        <v>16</v>
      </c>
      <c r="J148" s="65" t="s">
        <v>8</v>
      </c>
      <c r="K148" s="65" t="s">
        <v>27</v>
      </c>
      <c r="L148" s="53">
        <f>VLOOKUP(D148,'UPah &amp; Bahan oke'!$D$9:$H$169,5,0)</f>
        <v>110000</v>
      </c>
      <c r="M148" s="65" t="s">
        <v>10</v>
      </c>
      <c r="N148" s="65" t="s">
        <v>27</v>
      </c>
      <c r="O148" s="53">
        <f>+L148*H148</f>
        <v>33000</v>
      </c>
    </row>
    <row r="149" spans="2:15" ht="20.100000000000001" hidden="1" customHeight="1" x14ac:dyDescent="0.3">
      <c r="B149" s="59"/>
      <c r="C149" s="59"/>
      <c r="D149" s="52" t="s">
        <v>103</v>
      </c>
      <c r="H149" s="57">
        <v>0.15</v>
      </c>
      <c r="I149" s="52" t="s">
        <v>16</v>
      </c>
      <c r="J149" s="65" t="s">
        <v>8</v>
      </c>
      <c r="K149" s="65" t="s">
        <v>27</v>
      </c>
      <c r="L149" s="53">
        <f>VLOOKUP(D149,'UPah &amp; Bahan oke'!$D$9:$H$169,5,0)</f>
        <v>153000</v>
      </c>
      <c r="M149" s="65" t="s">
        <v>10</v>
      </c>
      <c r="N149" s="65" t="s">
        <v>27</v>
      </c>
      <c r="O149" s="53">
        <f>+L149*H149</f>
        <v>22950</v>
      </c>
    </row>
    <row r="150" spans="2:15" ht="20.100000000000001" hidden="1" customHeight="1" x14ac:dyDescent="0.3">
      <c r="B150" s="59"/>
      <c r="C150" s="59"/>
      <c r="D150" s="52" t="s">
        <v>18</v>
      </c>
      <c r="H150" s="57">
        <v>1.4999999999999999E-2</v>
      </c>
      <c r="I150" s="52" t="s">
        <v>16</v>
      </c>
      <c r="J150" s="65" t="s">
        <v>8</v>
      </c>
      <c r="K150" s="65" t="s">
        <v>27</v>
      </c>
      <c r="L150" s="53">
        <f>VLOOKUP(D150,'UPah &amp; Bahan oke'!$D$9:$H$169,5,0)</f>
        <v>170000</v>
      </c>
      <c r="M150" s="65" t="s">
        <v>10</v>
      </c>
      <c r="N150" s="65" t="s">
        <v>27</v>
      </c>
      <c r="O150" s="53">
        <f>+L150*H150</f>
        <v>2550</v>
      </c>
    </row>
    <row r="151" spans="2:15" ht="20.100000000000001" hidden="1" customHeight="1" x14ac:dyDescent="0.3">
      <c r="B151" s="59"/>
      <c r="C151" s="59"/>
      <c r="D151" s="52" t="s">
        <v>19</v>
      </c>
      <c r="H151" s="57">
        <v>1.4999999999999999E-2</v>
      </c>
      <c r="I151" s="52" t="s">
        <v>16</v>
      </c>
      <c r="J151" s="65" t="s">
        <v>8</v>
      </c>
      <c r="K151" s="65" t="s">
        <v>27</v>
      </c>
      <c r="L151" s="53">
        <f>VLOOKUP(D151,'UPah &amp; Bahan oke'!$D$9:$H$169,5,0)</f>
        <v>150000</v>
      </c>
      <c r="M151" s="65" t="s">
        <v>10</v>
      </c>
      <c r="N151" s="65" t="s">
        <v>27</v>
      </c>
      <c r="O151" s="77">
        <f>+L151*H151</f>
        <v>2250</v>
      </c>
    </row>
    <row r="152" spans="2:15" ht="20.100000000000001" hidden="1" customHeight="1" x14ac:dyDescent="0.3">
      <c r="B152" s="59"/>
      <c r="C152" s="59"/>
      <c r="H152" s="57"/>
      <c r="J152" s="65"/>
      <c r="K152" s="53" t="s">
        <v>20</v>
      </c>
      <c r="M152" s="65" t="s">
        <v>10</v>
      </c>
      <c r="N152" s="65" t="s">
        <v>27</v>
      </c>
      <c r="O152" s="63">
        <f>SUM(O148:O151)</f>
        <v>60750</v>
      </c>
    </row>
    <row r="153" spans="2:15" ht="20.100000000000001" hidden="1" customHeight="1" x14ac:dyDescent="0.3">
      <c r="B153" s="59"/>
      <c r="C153" s="59"/>
      <c r="H153" s="57"/>
      <c r="J153" s="65"/>
      <c r="K153" s="53" t="s">
        <v>21</v>
      </c>
      <c r="M153" s="65" t="s">
        <v>10</v>
      </c>
      <c r="N153" s="65" t="s">
        <v>27</v>
      </c>
      <c r="O153" s="85">
        <f>+O152+O146</f>
        <v>78127</v>
      </c>
    </row>
    <row r="154" spans="2:15" ht="20.100000000000001" hidden="1" customHeight="1" x14ac:dyDescent="0.3"/>
    <row r="155" spans="2:15" ht="20.100000000000001" hidden="1" customHeight="1" x14ac:dyDescent="0.3">
      <c r="B155" s="55" t="s">
        <v>65</v>
      </c>
      <c r="C155" s="55" t="s">
        <v>330</v>
      </c>
      <c r="D155" s="55" t="s">
        <v>342</v>
      </c>
      <c r="E155" s="55" t="s">
        <v>345</v>
      </c>
      <c r="H155" s="57"/>
      <c r="J155" s="65"/>
      <c r="K155" s="65"/>
      <c r="M155" s="65"/>
      <c r="N155" s="65"/>
    </row>
    <row r="156" spans="2:15" ht="20.100000000000001" hidden="1" customHeight="1" x14ac:dyDescent="0.3">
      <c r="B156" s="55"/>
      <c r="C156" s="55" t="s">
        <v>4</v>
      </c>
      <c r="D156" s="55" t="s">
        <v>5</v>
      </c>
      <c r="H156" s="57"/>
      <c r="J156" s="65"/>
      <c r="K156" s="65"/>
      <c r="M156" s="65"/>
      <c r="N156" s="65"/>
    </row>
    <row r="157" spans="2:15" ht="20.100000000000001" hidden="1" customHeight="1" x14ac:dyDescent="0.3">
      <c r="B157" s="59"/>
      <c r="C157" s="59"/>
      <c r="D157" s="52" t="s">
        <v>59</v>
      </c>
      <c r="H157" s="57">
        <v>6.24</v>
      </c>
      <c r="I157" s="52" t="s">
        <v>12</v>
      </c>
      <c r="J157" s="65" t="s">
        <v>8</v>
      </c>
      <c r="K157" s="65" t="s">
        <v>27</v>
      </c>
      <c r="L157" s="53">
        <f>VLOOKUP(D157,'UPah &amp; Bahan oke'!$D$9:$H$169,5,0)</f>
        <v>1687.5</v>
      </c>
      <c r="M157" s="65" t="s">
        <v>10</v>
      </c>
      <c r="N157" s="65" t="s">
        <v>27</v>
      </c>
      <c r="O157" s="53">
        <f>+L157*H157</f>
        <v>10530</v>
      </c>
    </row>
    <row r="158" spans="2:15" ht="20.100000000000001" hidden="1" customHeight="1" x14ac:dyDescent="0.3">
      <c r="B158" s="59"/>
      <c r="C158" s="59"/>
      <c r="D158" s="52" t="s">
        <v>60</v>
      </c>
      <c r="H158" s="57">
        <v>2.4E-2</v>
      </c>
      <c r="I158" s="52" t="s">
        <v>37</v>
      </c>
      <c r="J158" s="65" t="s">
        <v>8</v>
      </c>
      <c r="K158" s="65" t="s">
        <v>27</v>
      </c>
      <c r="L158" s="53">
        <f>VLOOKUP(D158,'UPah &amp; Bahan oke'!$D$9:$H$169,5,0)</f>
        <v>185000</v>
      </c>
      <c r="M158" s="65" t="s">
        <v>10</v>
      </c>
      <c r="N158" s="65" t="s">
        <v>27</v>
      </c>
      <c r="O158" s="77">
        <f>+L158*H158</f>
        <v>4440</v>
      </c>
    </row>
    <row r="159" spans="2:15" ht="20.100000000000001" hidden="1" customHeight="1" x14ac:dyDescent="0.3">
      <c r="B159" s="59"/>
      <c r="C159" s="59"/>
      <c r="H159" s="57"/>
      <c r="J159" s="65"/>
      <c r="K159" s="53" t="s">
        <v>13</v>
      </c>
      <c r="M159" s="65" t="s">
        <v>10</v>
      </c>
      <c r="N159" s="65" t="s">
        <v>27</v>
      </c>
      <c r="O159" s="53">
        <f>SUM(O157:O158)</f>
        <v>14970</v>
      </c>
    </row>
    <row r="160" spans="2:15" ht="20.100000000000001" hidden="1" customHeight="1" x14ac:dyDescent="0.3">
      <c r="B160" s="58"/>
      <c r="C160" s="55" t="s">
        <v>14</v>
      </c>
      <c r="D160" s="56" t="s">
        <v>15</v>
      </c>
      <c r="H160" s="57"/>
      <c r="J160" s="65"/>
      <c r="K160" s="65"/>
      <c r="M160" s="65"/>
      <c r="N160" s="65"/>
    </row>
    <row r="161" spans="2:15" ht="20.100000000000001" hidden="1" customHeight="1" x14ac:dyDescent="0.3">
      <c r="B161" s="59"/>
      <c r="C161" s="59"/>
      <c r="D161" s="52" t="s">
        <v>17</v>
      </c>
      <c r="H161" s="57">
        <v>0.3</v>
      </c>
      <c r="I161" s="52" t="s">
        <v>16</v>
      </c>
      <c r="J161" s="65" t="s">
        <v>8</v>
      </c>
      <c r="K161" s="65" t="s">
        <v>27</v>
      </c>
      <c r="L161" s="53">
        <f>VLOOKUP(D161,'UPah &amp; Bahan oke'!$D$9:$H$169,5,0)</f>
        <v>110000</v>
      </c>
      <c r="M161" s="65" t="s">
        <v>10</v>
      </c>
      <c r="N161" s="65" t="s">
        <v>27</v>
      </c>
      <c r="O161" s="53">
        <f>+L161*H161</f>
        <v>33000</v>
      </c>
    </row>
    <row r="162" spans="2:15" ht="20.100000000000001" hidden="1" customHeight="1" x14ac:dyDescent="0.3">
      <c r="B162" s="59"/>
      <c r="C162" s="59"/>
      <c r="D162" s="52" t="s">
        <v>103</v>
      </c>
      <c r="H162" s="57">
        <v>0.15</v>
      </c>
      <c r="I162" s="52" t="s">
        <v>16</v>
      </c>
      <c r="J162" s="65" t="s">
        <v>8</v>
      </c>
      <c r="K162" s="65" t="s">
        <v>27</v>
      </c>
      <c r="L162" s="53">
        <f>VLOOKUP(D162,'UPah &amp; Bahan oke'!$D$9:$H$169,5,0)</f>
        <v>153000</v>
      </c>
      <c r="M162" s="65" t="s">
        <v>10</v>
      </c>
      <c r="N162" s="65" t="s">
        <v>27</v>
      </c>
      <c r="O162" s="53">
        <f>+L162*H162</f>
        <v>22950</v>
      </c>
    </row>
    <row r="163" spans="2:15" ht="20.100000000000001" hidden="1" customHeight="1" x14ac:dyDescent="0.3">
      <c r="B163" s="59"/>
      <c r="C163" s="59"/>
      <c r="D163" s="52" t="s">
        <v>18</v>
      </c>
      <c r="H163" s="57">
        <v>1.4999999999999999E-2</v>
      </c>
      <c r="I163" s="52" t="s">
        <v>16</v>
      </c>
      <c r="J163" s="65" t="s">
        <v>8</v>
      </c>
      <c r="K163" s="65" t="s">
        <v>27</v>
      </c>
      <c r="L163" s="53">
        <f>VLOOKUP(D163,'UPah &amp; Bahan oke'!$D$9:$H$169,5,0)</f>
        <v>170000</v>
      </c>
      <c r="M163" s="65" t="s">
        <v>10</v>
      </c>
      <c r="N163" s="65" t="s">
        <v>27</v>
      </c>
      <c r="O163" s="53">
        <f>+L163*H163</f>
        <v>2550</v>
      </c>
    </row>
    <row r="164" spans="2:15" ht="20.100000000000001" hidden="1" customHeight="1" x14ac:dyDescent="0.3">
      <c r="B164" s="59"/>
      <c r="C164" s="59"/>
      <c r="D164" s="52" t="s">
        <v>19</v>
      </c>
      <c r="H164" s="57">
        <v>1.4999999999999999E-2</v>
      </c>
      <c r="I164" s="52" t="s">
        <v>16</v>
      </c>
      <c r="J164" s="65" t="s">
        <v>8</v>
      </c>
      <c r="K164" s="65" t="s">
        <v>27</v>
      </c>
      <c r="L164" s="53">
        <f>VLOOKUP(D164,'UPah &amp; Bahan oke'!$D$9:$H$169,5,0)</f>
        <v>150000</v>
      </c>
      <c r="M164" s="65" t="s">
        <v>10</v>
      </c>
      <c r="N164" s="65" t="s">
        <v>27</v>
      </c>
      <c r="O164" s="77">
        <f>+L164*H164</f>
        <v>2250</v>
      </c>
    </row>
    <row r="165" spans="2:15" ht="20.100000000000001" hidden="1" customHeight="1" x14ac:dyDescent="0.3">
      <c r="B165" s="59"/>
      <c r="C165" s="59"/>
      <c r="H165" s="57"/>
      <c r="J165" s="65"/>
      <c r="K165" s="53" t="s">
        <v>20</v>
      </c>
      <c r="M165" s="65" t="s">
        <v>10</v>
      </c>
      <c r="N165" s="65" t="s">
        <v>27</v>
      </c>
      <c r="O165" s="63">
        <f>SUM(O161:O164)</f>
        <v>60750</v>
      </c>
    </row>
    <row r="166" spans="2:15" ht="20.100000000000001" hidden="1" customHeight="1" x14ac:dyDescent="0.3">
      <c r="B166" s="59"/>
      <c r="C166" s="59"/>
      <c r="H166" s="57"/>
      <c r="J166" s="65"/>
      <c r="K166" s="53" t="s">
        <v>21</v>
      </c>
      <c r="M166" s="65" t="s">
        <v>10</v>
      </c>
      <c r="N166" s="65" t="s">
        <v>27</v>
      </c>
      <c r="O166" s="85">
        <f>+O165+O159</f>
        <v>75720</v>
      </c>
    </row>
    <row r="167" spans="2:15" ht="20.100000000000001" customHeight="1" x14ac:dyDescent="0.3"/>
    <row r="168" spans="2:15" ht="20.100000000000001" hidden="1" customHeight="1" x14ac:dyDescent="0.3">
      <c r="B168" s="54" t="s">
        <v>68</v>
      </c>
    </row>
    <row r="169" spans="2:15" ht="20.100000000000001" hidden="1" customHeight="1" x14ac:dyDescent="0.3"/>
    <row r="170" spans="2:15" ht="20.100000000000001" hidden="1" customHeight="1" x14ac:dyDescent="0.3">
      <c r="B170" s="56" t="s">
        <v>69</v>
      </c>
      <c r="C170" s="56" t="s">
        <v>334</v>
      </c>
      <c r="D170" s="56" t="s">
        <v>346</v>
      </c>
      <c r="E170" s="56" t="s">
        <v>347</v>
      </c>
      <c r="F170" s="56"/>
      <c r="G170" s="56"/>
      <c r="H170" s="56"/>
      <c r="K170" s="78"/>
      <c r="M170" s="79"/>
      <c r="N170" s="79"/>
    </row>
    <row r="171" spans="2:15" ht="20.100000000000001" hidden="1" customHeight="1" x14ac:dyDescent="0.3">
      <c r="B171" s="58"/>
      <c r="C171" s="55" t="s">
        <v>70</v>
      </c>
      <c r="D171" s="56" t="s">
        <v>5</v>
      </c>
      <c r="E171" s="56"/>
      <c r="K171" s="78"/>
      <c r="M171" s="52"/>
      <c r="N171" s="80"/>
    </row>
    <row r="172" spans="2:15" ht="20.100000000000001" hidden="1" customHeight="1" x14ac:dyDescent="0.3">
      <c r="B172" s="59"/>
      <c r="C172" s="59"/>
      <c r="D172" s="52" t="s">
        <v>59</v>
      </c>
      <c r="H172" s="57">
        <v>247</v>
      </c>
      <c r="I172" s="52" t="s">
        <v>12</v>
      </c>
      <c r="J172" s="52" t="s">
        <v>8</v>
      </c>
      <c r="K172" s="52" t="s">
        <v>27</v>
      </c>
      <c r="L172" s="53">
        <f>VLOOKUP(D172,'UPah &amp; Bahan oke'!$D$9:$H$169,5,0)</f>
        <v>1687.5</v>
      </c>
      <c r="M172" s="52" t="s">
        <v>10</v>
      </c>
      <c r="N172" s="52" t="s">
        <v>27</v>
      </c>
      <c r="O172" s="53">
        <f>+L172*H172</f>
        <v>416812.5</v>
      </c>
    </row>
    <row r="173" spans="2:15" ht="20.100000000000001" hidden="1" customHeight="1" x14ac:dyDescent="0.3">
      <c r="B173" s="59"/>
      <c r="C173" s="59"/>
      <c r="D173" s="52" t="s">
        <v>71</v>
      </c>
      <c r="H173" s="57">
        <v>869</v>
      </c>
      <c r="I173" s="52" t="s">
        <v>12</v>
      </c>
      <c r="J173" s="52" t="s">
        <v>8</v>
      </c>
      <c r="K173" s="52" t="s">
        <v>27</v>
      </c>
      <c r="L173" s="53">
        <f>VLOOKUP(D173,'UPah &amp; Bahan oke'!$D$9:$H$169,5,0)</f>
        <v>250</v>
      </c>
      <c r="M173" s="52" t="s">
        <v>10</v>
      </c>
      <c r="N173" s="52" t="s">
        <v>27</v>
      </c>
      <c r="O173" s="53">
        <f>+L173*H173</f>
        <v>217250</v>
      </c>
    </row>
    <row r="174" spans="2:15" ht="20.100000000000001" hidden="1" customHeight="1" x14ac:dyDescent="0.3">
      <c r="B174" s="59"/>
      <c r="C174" s="59"/>
      <c r="D174" s="60" t="s">
        <v>72</v>
      </c>
      <c r="H174" s="57">
        <v>999</v>
      </c>
      <c r="I174" s="52" t="s">
        <v>12</v>
      </c>
      <c r="J174" s="52" t="s">
        <v>8</v>
      </c>
      <c r="K174" s="52" t="s">
        <v>27</v>
      </c>
      <c r="L174" s="53">
        <f>VLOOKUP(D174,'UPah &amp; Bahan oke'!$D$9:$H$169,5,0)</f>
        <v>138.88888888888889</v>
      </c>
      <c r="M174" s="52" t="s">
        <v>10</v>
      </c>
      <c r="N174" s="52" t="s">
        <v>27</v>
      </c>
      <c r="O174" s="53">
        <f>+L174*H174</f>
        <v>138750</v>
      </c>
    </row>
    <row r="175" spans="2:15" ht="20.100000000000001" hidden="1" customHeight="1" x14ac:dyDescent="0.3">
      <c r="B175" s="59"/>
      <c r="C175" s="59"/>
      <c r="D175" s="60" t="s">
        <v>73</v>
      </c>
      <c r="H175" s="57">
        <v>215</v>
      </c>
      <c r="I175" s="60" t="s">
        <v>74</v>
      </c>
      <c r="J175" s="52" t="s">
        <v>8</v>
      </c>
      <c r="K175" s="52" t="s">
        <v>27</v>
      </c>
      <c r="L175" s="53">
        <f>VLOOKUP(D175,'UPah &amp; Bahan oke'!$D$9:$H$169,5,0)</f>
        <v>50</v>
      </c>
      <c r="M175" s="52" t="s">
        <v>10</v>
      </c>
      <c r="N175" s="52" t="s">
        <v>27</v>
      </c>
      <c r="O175" s="53">
        <f>+L175*H175</f>
        <v>10750</v>
      </c>
    </row>
    <row r="176" spans="2:15" ht="20.100000000000001" hidden="1" customHeight="1" x14ac:dyDescent="0.3">
      <c r="K176" s="53" t="s">
        <v>13</v>
      </c>
      <c r="M176" s="52" t="s">
        <v>10</v>
      </c>
      <c r="N176" s="52" t="s">
        <v>27</v>
      </c>
      <c r="O176" s="61">
        <f>SUM(O172:O175)</f>
        <v>783562.5</v>
      </c>
    </row>
    <row r="177" spans="2:15" ht="20.100000000000001" hidden="1" customHeight="1" x14ac:dyDescent="0.3">
      <c r="B177" s="58"/>
      <c r="C177" s="55" t="s">
        <v>75</v>
      </c>
      <c r="D177" s="56" t="s">
        <v>15</v>
      </c>
      <c r="E177" s="56"/>
      <c r="M177" s="52"/>
    </row>
    <row r="178" spans="2:15" ht="20.100000000000001" hidden="1" customHeight="1" x14ac:dyDescent="0.3">
      <c r="B178" s="59"/>
      <c r="C178" s="59"/>
      <c r="D178" s="52" t="s">
        <v>17</v>
      </c>
      <c r="H178" s="57">
        <v>1.65</v>
      </c>
      <c r="I178" s="52" t="s">
        <v>16</v>
      </c>
      <c r="J178" s="52" t="s">
        <v>8</v>
      </c>
      <c r="K178" s="52" t="s">
        <v>27</v>
      </c>
      <c r="L178" s="53">
        <f>VLOOKUP(D178,'UPah &amp; Bahan oke'!$D$9:$H$169,5,0)</f>
        <v>110000</v>
      </c>
      <c r="M178" s="52" t="s">
        <v>10</v>
      </c>
      <c r="N178" s="52" t="s">
        <v>27</v>
      </c>
      <c r="O178" s="53">
        <f>+L178*H178</f>
        <v>181500</v>
      </c>
    </row>
    <row r="179" spans="2:15" ht="20.100000000000001" hidden="1" customHeight="1" x14ac:dyDescent="0.3">
      <c r="B179" s="59"/>
      <c r="C179" s="59"/>
      <c r="D179" s="52" t="s">
        <v>103</v>
      </c>
      <c r="H179" s="57">
        <v>0.27500000000000002</v>
      </c>
      <c r="I179" s="52" t="s">
        <v>16</v>
      </c>
      <c r="J179" s="52" t="s">
        <v>8</v>
      </c>
      <c r="K179" s="52" t="s">
        <v>27</v>
      </c>
      <c r="L179" s="53">
        <f>VLOOKUP(D179,'UPah &amp; Bahan oke'!$D$9:$H$169,5,0)</f>
        <v>153000</v>
      </c>
      <c r="M179" s="52" t="s">
        <v>10</v>
      </c>
      <c r="N179" s="52" t="s">
        <v>27</v>
      </c>
      <c r="O179" s="53">
        <f>+L179*H179</f>
        <v>42075</v>
      </c>
    </row>
    <row r="180" spans="2:15" ht="20.100000000000001" hidden="1" customHeight="1" x14ac:dyDescent="0.3">
      <c r="B180" s="59"/>
      <c r="C180" s="59"/>
      <c r="D180" s="52" t="s">
        <v>18</v>
      </c>
      <c r="H180" s="52">
        <v>2.8000000000000001E-2</v>
      </c>
      <c r="I180" s="52" t="s">
        <v>16</v>
      </c>
      <c r="J180" s="52" t="s">
        <v>8</v>
      </c>
      <c r="K180" s="52" t="s">
        <v>27</v>
      </c>
      <c r="L180" s="53">
        <f>VLOOKUP(D180,'UPah &amp; Bahan oke'!$D$9:$H$169,5,0)</f>
        <v>170000</v>
      </c>
      <c r="M180" s="52" t="s">
        <v>10</v>
      </c>
      <c r="N180" s="52" t="s">
        <v>27</v>
      </c>
      <c r="O180" s="53">
        <f>+L180*H180</f>
        <v>4760</v>
      </c>
    </row>
    <row r="181" spans="2:15" ht="20.100000000000001" hidden="1" customHeight="1" x14ac:dyDescent="0.3">
      <c r="B181" s="59"/>
      <c r="C181" s="59"/>
      <c r="D181" s="52" t="s">
        <v>19</v>
      </c>
      <c r="H181" s="57">
        <v>8.3000000000000004E-2</v>
      </c>
      <c r="I181" s="52" t="s">
        <v>16</v>
      </c>
      <c r="J181" s="52" t="s">
        <v>8</v>
      </c>
      <c r="K181" s="52" t="s">
        <v>27</v>
      </c>
      <c r="L181" s="53">
        <f>VLOOKUP(D181,'UPah &amp; Bahan oke'!$D$9:$H$169,5,0)</f>
        <v>150000</v>
      </c>
      <c r="M181" s="52" t="s">
        <v>10</v>
      </c>
      <c r="N181" s="52" t="s">
        <v>27</v>
      </c>
      <c r="O181" s="53">
        <f>+L181*H181</f>
        <v>12450</v>
      </c>
    </row>
    <row r="182" spans="2:15" ht="20.100000000000001" hidden="1" customHeight="1" x14ac:dyDescent="0.3">
      <c r="K182" s="53" t="s">
        <v>20</v>
      </c>
      <c r="M182" s="52" t="s">
        <v>10</v>
      </c>
      <c r="N182" s="52" t="s">
        <v>27</v>
      </c>
      <c r="O182" s="81">
        <f>SUM(O178:O181)</f>
        <v>240785</v>
      </c>
    </row>
    <row r="183" spans="2:15" ht="20.100000000000001" hidden="1" customHeight="1" x14ac:dyDescent="0.3">
      <c r="K183" s="53" t="s">
        <v>21</v>
      </c>
      <c r="M183" s="52" t="s">
        <v>10</v>
      </c>
      <c r="N183" s="52" t="s">
        <v>27</v>
      </c>
      <c r="O183" s="85">
        <f>+O182+O176</f>
        <v>1024347.5</v>
      </c>
    </row>
    <row r="184" spans="2:15" ht="20.100000000000001" hidden="1" customHeight="1" x14ac:dyDescent="0.3"/>
    <row r="185" spans="2:15" ht="20.100000000000001" customHeight="1" x14ac:dyDescent="0.3">
      <c r="B185" s="56" t="s">
        <v>69</v>
      </c>
      <c r="C185" s="56" t="s">
        <v>381</v>
      </c>
      <c r="D185" s="56" t="s">
        <v>346</v>
      </c>
      <c r="E185" s="56" t="s">
        <v>348</v>
      </c>
      <c r="F185" s="56"/>
      <c r="G185" s="56"/>
      <c r="H185" s="56"/>
      <c r="K185" s="78"/>
      <c r="M185" s="52"/>
      <c r="N185" s="80"/>
    </row>
    <row r="186" spans="2:15" ht="20.100000000000001" customHeight="1" x14ac:dyDescent="0.3">
      <c r="B186" s="56"/>
      <c r="C186" s="56" t="s">
        <v>76</v>
      </c>
      <c r="D186" s="56" t="s">
        <v>5</v>
      </c>
      <c r="E186" s="56"/>
      <c r="K186" s="78"/>
      <c r="M186" s="52"/>
      <c r="N186" s="80"/>
    </row>
    <row r="187" spans="2:15" ht="20.100000000000001" customHeight="1" x14ac:dyDescent="0.3">
      <c r="B187" s="59"/>
      <c r="C187" s="59"/>
      <c r="D187" s="52" t="s">
        <v>59</v>
      </c>
      <c r="H187" s="57">
        <v>326</v>
      </c>
      <c r="I187" s="52" t="s">
        <v>12</v>
      </c>
      <c r="J187" s="52" t="s">
        <v>8</v>
      </c>
      <c r="K187" s="52" t="s">
        <v>27</v>
      </c>
      <c r="L187" s="53">
        <f>'UPah &amp; Bahan oke'!H29</f>
        <v>1687.5</v>
      </c>
      <c r="M187" s="52" t="s">
        <v>10</v>
      </c>
      <c r="N187" s="52" t="s">
        <v>27</v>
      </c>
      <c r="O187" s="53">
        <f>+L187*H187</f>
        <v>550125</v>
      </c>
    </row>
    <row r="188" spans="2:15" ht="20.100000000000001" customHeight="1" x14ac:dyDescent="0.3">
      <c r="B188" s="59"/>
      <c r="C188" s="59"/>
      <c r="D188" s="52" t="s">
        <v>71</v>
      </c>
      <c r="H188" s="57">
        <v>760</v>
      </c>
      <c r="I188" s="52" t="s">
        <v>12</v>
      </c>
      <c r="J188" s="52" t="s">
        <v>8</v>
      </c>
      <c r="K188" s="52" t="s">
        <v>27</v>
      </c>
      <c r="L188" s="53">
        <f>'UPah &amp; Bahan oke'!H20</f>
        <v>250</v>
      </c>
      <c r="M188" s="52" t="s">
        <v>10</v>
      </c>
      <c r="N188" s="52" t="s">
        <v>27</v>
      </c>
      <c r="O188" s="53">
        <f>+L188*H188</f>
        <v>190000</v>
      </c>
    </row>
    <row r="189" spans="2:15" ht="20.100000000000001" customHeight="1" x14ac:dyDescent="0.3">
      <c r="B189" s="59"/>
      <c r="C189" s="59"/>
      <c r="D189" s="52" t="s">
        <v>72</v>
      </c>
      <c r="H189" s="57">
        <v>1029</v>
      </c>
      <c r="I189" s="52" t="s">
        <v>12</v>
      </c>
      <c r="J189" s="52" t="s">
        <v>8</v>
      </c>
      <c r="K189" s="52" t="s">
        <v>27</v>
      </c>
      <c r="L189" s="53">
        <f>'UPah &amp; Bahan oke'!H22</f>
        <v>138.88888888888889</v>
      </c>
      <c r="M189" s="52" t="s">
        <v>10</v>
      </c>
      <c r="N189" s="52" t="s">
        <v>27</v>
      </c>
      <c r="O189" s="53">
        <f>+L189*H189</f>
        <v>142916.66666666666</v>
      </c>
    </row>
    <row r="190" spans="2:15" ht="20.100000000000001" customHeight="1" x14ac:dyDescent="0.3">
      <c r="B190" s="59"/>
      <c r="C190" s="59"/>
      <c r="D190" s="52" t="s">
        <v>73</v>
      </c>
      <c r="H190" s="57">
        <v>215</v>
      </c>
      <c r="I190" s="52" t="s">
        <v>74</v>
      </c>
      <c r="J190" s="52" t="s">
        <v>8</v>
      </c>
      <c r="K190" s="52" t="s">
        <v>27</v>
      </c>
      <c r="L190" s="53">
        <f>'UPah &amp; Bahan oke'!H33</f>
        <v>50</v>
      </c>
      <c r="M190" s="52" t="s">
        <v>10</v>
      </c>
      <c r="N190" s="52" t="s">
        <v>27</v>
      </c>
      <c r="O190" s="77">
        <f>+L190*H190</f>
        <v>10750</v>
      </c>
    </row>
    <row r="191" spans="2:15" ht="20.100000000000001" customHeight="1" x14ac:dyDescent="0.3">
      <c r="K191" s="53" t="s">
        <v>13</v>
      </c>
      <c r="M191" s="52" t="s">
        <v>10</v>
      </c>
      <c r="N191" s="52" t="s">
        <v>27</v>
      </c>
      <c r="O191" s="53">
        <f>SUM(O187:O190)</f>
        <v>893791.66666666663</v>
      </c>
    </row>
    <row r="192" spans="2:15" ht="20.100000000000001" customHeight="1" x14ac:dyDescent="0.3">
      <c r="B192" s="58"/>
      <c r="C192" s="55" t="s">
        <v>77</v>
      </c>
      <c r="D192" s="56" t="s">
        <v>15</v>
      </c>
      <c r="E192" s="56"/>
      <c r="M192" s="52"/>
    </row>
    <row r="193" spans="2:15" ht="20.100000000000001" customHeight="1" x14ac:dyDescent="0.3">
      <c r="B193" s="59"/>
      <c r="C193" s="59"/>
      <c r="D193" s="52" t="s">
        <v>17</v>
      </c>
      <c r="H193" s="57">
        <v>1.65</v>
      </c>
      <c r="I193" s="52" t="s">
        <v>16</v>
      </c>
      <c r="J193" s="52" t="s">
        <v>8</v>
      </c>
      <c r="K193" s="52" t="s">
        <v>27</v>
      </c>
      <c r="L193" s="53">
        <f>'UPah &amp; Bahan oke'!H9</f>
        <v>110000</v>
      </c>
      <c r="M193" s="52" t="s">
        <v>10</v>
      </c>
      <c r="N193" s="52" t="s">
        <v>27</v>
      </c>
      <c r="O193" s="53">
        <f>+L193*H193</f>
        <v>181500</v>
      </c>
    </row>
    <row r="194" spans="2:15" ht="20.100000000000001" customHeight="1" x14ac:dyDescent="0.3">
      <c r="B194" s="59"/>
      <c r="C194" s="59"/>
      <c r="D194" s="52" t="s">
        <v>103</v>
      </c>
      <c r="H194" s="57">
        <v>0.27500000000000002</v>
      </c>
      <c r="I194" s="52" t="s">
        <v>16</v>
      </c>
      <c r="J194" s="52" t="s">
        <v>8</v>
      </c>
      <c r="K194" s="52" t="s">
        <v>27</v>
      </c>
      <c r="L194" s="53">
        <f>'UPah &amp; Bahan oke'!H10</f>
        <v>153000</v>
      </c>
      <c r="M194" s="52" t="s">
        <v>10</v>
      </c>
      <c r="N194" s="52" t="s">
        <v>27</v>
      </c>
      <c r="O194" s="53">
        <f>+L194*H194</f>
        <v>42075</v>
      </c>
    </row>
    <row r="195" spans="2:15" ht="20.100000000000001" customHeight="1" x14ac:dyDescent="0.3">
      <c r="B195" s="59"/>
      <c r="C195" s="59"/>
      <c r="D195" s="52" t="s">
        <v>18</v>
      </c>
      <c r="H195" s="52">
        <v>2.8000000000000001E-2</v>
      </c>
      <c r="I195" s="52" t="s">
        <v>16</v>
      </c>
      <c r="J195" s="52" t="s">
        <v>8</v>
      </c>
      <c r="K195" s="52" t="s">
        <v>27</v>
      </c>
      <c r="L195" s="53">
        <f>'UPah &amp; Bahan oke'!H11</f>
        <v>170000</v>
      </c>
      <c r="M195" s="52" t="s">
        <v>10</v>
      </c>
      <c r="N195" s="52" t="s">
        <v>27</v>
      </c>
      <c r="O195" s="53">
        <f>+L195*H195</f>
        <v>4760</v>
      </c>
    </row>
    <row r="196" spans="2:15" ht="20.100000000000001" customHeight="1" x14ac:dyDescent="0.3">
      <c r="B196" s="59"/>
      <c r="C196" s="59"/>
      <c r="D196" s="52" t="s">
        <v>19</v>
      </c>
      <c r="H196" s="57">
        <v>8.3000000000000004E-2</v>
      </c>
      <c r="I196" s="52" t="s">
        <v>16</v>
      </c>
      <c r="J196" s="52" t="s">
        <v>8</v>
      </c>
      <c r="K196" s="52" t="s">
        <v>27</v>
      </c>
      <c r="L196" s="53">
        <f>'UPah &amp; Bahan oke'!H12</f>
        <v>150000</v>
      </c>
      <c r="M196" s="52" t="s">
        <v>10</v>
      </c>
      <c r="N196" s="52" t="s">
        <v>27</v>
      </c>
      <c r="O196" s="77">
        <f>+L196*H196</f>
        <v>12450</v>
      </c>
    </row>
    <row r="197" spans="2:15" ht="20.100000000000001" customHeight="1" x14ac:dyDescent="0.3">
      <c r="K197" s="53" t="s">
        <v>20</v>
      </c>
      <c r="M197" s="52" t="s">
        <v>10</v>
      </c>
      <c r="N197" s="52" t="s">
        <v>27</v>
      </c>
      <c r="O197" s="63">
        <f>SUM(O193:O196)</f>
        <v>240785</v>
      </c>
    </row>
    <row r="198" spans="2:15" ht="20.100000000000001" customHeight="1" x14ac:dyDescent="0.3">
      <c r="K198" s="53" t="s">
        <v>21</v>
      </c>
      <c r="M198" s="52" t="s">
        <v>10</v>
      </c>
      <c r="N198" s="52" t="s">
        <v>27</v>
      </c>
      <c r="O198" s="85">
        <f>+O197+O191</f>
        <v>1134576.6666666665</v>
      </c>
    </row>
    <row r="199" spans="2:15" ht="20.100000000000001" customHeight="1" x14ac:dyDescent="0.3">
      <c r="K199" s="53"/>
      <c r="M199" s="52"/>
      <c r="O199" s="63"/>
    </row>
    <row r="200" spans="2:15" ht="20.100000000000001" customHeight="1" x14ac:dyDescent="0.3">
      <c r="B200" s="56" t="s">
        <v>69</v>
      </c>
      <c r="C200" s="56" t="s">
        <v>337</v>
      </c>
      <c r="D200" s="56" t="s">
        <v>346</v>
      </c>
      <c r="E200" s="56" t="s">
        <v>349</v>
      </c>
      <c r="F200" s="56"/>
      <c r="G200" s="56"/>
      <c r="H200" s="56"/>
      <c r="K200" s="78"/>
      <c r="M200" s="52"/>
      <c r="N200" s="80"/>
      <c r="O200" s="63"/>
    </row>
    <row r="201" spans="2:15" ht="20.100000000000001" customHeight="1" x14ac:dyDescent="0.3">
      <c r="B201" s="56"/>
      <c r="C201" s="56" t="s">
        <v>213</v>
      </c>
      <c r="D201" s="56" t="s">
        <v>5</v>
      </c>
      <c r="E201" s="56"/>
      <c r="K201" s="78"/>
      <c r="M201" s="52"/>
      <c r="N201" s="80"/>
      <c r="O201" s="63"/>
    </row>
    <row r="202" spans="2:15" ht="20.100000000000001" customHeight="1" x14ac:dyDescent="0.3">
      <c r="B202" s="59"/>
      <c r="C202" s="59"/>
      <c r="D202" s="52" t="s">
        <v>59</v>
      </c>
      <c r="H202" s="57">
        <v>371</v>
      </c>
      <c r="I202" s="52" t="s">
        <v>12</v>
      </c>
      <c r="J202" s="52" t="s">
        <v>8</v>
      </c>
      <c r="K202" s="52" t="s">
        <v>27</v>
      </c>
      <c r="L202" s="53">
        <f>'UPah &amp; Bahan oke'!H29</f>
        <v>1687.5</v>
      </c>
      <c r="M202" s="52" t="s">
        <v>10</v>
      </c>
      <c r="N202" s="52" t="s">
        <v>27</v>
      </c>
      <c r="O202" s="80">
        <f>+L202*H202</f>
        <v>626062.5</v>
      </c>
    </row>
    <row r="203" spans="2:15" ht="20.100000000000001" customHeight="1" x14ac:dyDescent="0.3">
      <c r="B203" s="59"/>
      <c r="C203" s="59"/>
      <c r="D203" s="52" t="s">
        <v>71</v>
      </c>
      <c r="H203" s="57">
        <v>698</v>
      </c>
      <c r="I203" s="52" t="s">
        <v>12</v>
      </c>
      <c r="J203" s="52" t="s">
        <v>8</v>
      </c>
      <c r="K203" s="52" t="s">
        <v>27</v>
      </c>
      <c r="L203" s="53">
        <f>'UPah &amp; Bahan oke'!H20</f>
        <v>250</v>
      </c>
      <c r="M203" s="52" t="s">
        <v>10</v>
      </c>
      <c r="N203" s="52" t="s">
        <v>27</v>
      </c>
      <c r="O203" s="80">
        <f>+L203*H203</f>
        <v>174500</v>
      </c>
    </row>
    <row r="204" spans="2:15" ht="20.100000000000001" customHeight="1" x14ac:dyDescent="0.3">
      <c r="B204" s="59"/>
      <c r="C204" s="59"/>
      <c r="D204" s="52" t="s">
        <v>72</v>
      </c>
      <c r="H204" s="57">
        <v>1047</v>
      </c>
      <c r="I204" s="52" t="s">
        <v>12</v>
      </c>
      <c r="J204" s="52" t="s">
        <v>8</v>
      </c>
      <c r="K204" s="52" t="s">
        <v>27</v>
      </c>
      <c r="L204" s="53">
        <f>'UPah &amp; Bahan oke'!H22</f>
        <v>138.88888888888889</v>
      </c>
      <c r="M204" s="52" t="s">
        <v>10</v>
      </c>
      <c r="N204" s="52" t="s">
        <v>27</v>
      </c>
      <c r="O204" s="80">
        <f>+L204*H204</f>
        <v>145416.66666666666</v>
      </c>
    </row>
    <row r="205" spans="2:15" ht="20.100000000000001" customHeight="1" x14ac:dyDescent="0.3">
      <c r="B205" s="59"/>
      <c r="C205" s="59"/>
      <c r="D205" s="52" t="str">
        <f>+D190</f>
        <v>Air</v>
      </c>
      <c r="H205" s="57">
        <v>215</v>
      </c>
      <c r="I205" s="52" t="s">
        <v>74</v>
      </c>
      <c r="J205" s="52" t="s">
        <v>8</v>
      </c>
      <c r="K205" s="52" t="s">
        <v>27</v>
      </c>
      <c r="L205" s="53">
        <f>'UPah &amp; Bahan oke'!H33</f>
        <v>50</v>
      </c>
      <c r="M205" s="52" t="s">
        <v>10</v>
      </c>
      <c r="N205" s="52" t="s">
        <v>27</v>
      </c>
      <c r="O205" s="82">
        <f>+L205*H205</f>
        <v>10750</v>
      </c>
    </row>
    <row r="206" spans="2:15" ht="20.100000000000001" customHeight="1" x14ac:dyDescent="0.3">
      <c r="K206" s="78" t="s">
        <v>13</v>
      </c>
      <c r="M206" s="52" t="s">
        <v>10</v>
      </c>
      <c r="N206" s="52" t="s">
        <v>27</v>
      </c>
      <c r="O206" s="80">
        <f>SUM(O202:O205)</f>
        <v>956729.16666666663</v>
      </c>
    </row>
    <row r="207" spans="2:15" ht="20.100000000000001" customHeight="1" x14ac:dyDescent="0.3">
      <c r="B207" s="58"/>
      <c r="C207" s="55" t="s">
        <v>214</v>
      </c>
      <c r="D207" s="56" t="s">
        <v>15</v>
      </c>
      <c r="E207" s="56"/>
      <c r="M207" s="52"/>
      <c r="O207" s="80"/>
    </row>
    <row r="208" spans="2:15" ht="20.100000000000001" customHeight="1" x14ac:dyDescent="0.3">
      <c r="B208" s="59"/>
      <c r="C208" s="59"/>
      <c r="D208" s="52" t="s">
        <v>17</v>
      </c>
      <c r="H208" s="57">
        <v>1.65</v>
      </c>
      <c r="I208" s="52" t="s">
        <v>16</v>
      </c>
      <c r="J208" s="52" t="s">
        <v>8</v>
      </c>
      <c r="K208" s="52" t="s">
        <v>27</v>
      </c>
      <c r="L208" s="53">
        <f>'UPah &amp; Bahan oke'!H9</f>
        <v>110000</v>
      </c>
      <c r="M208" s="52" t="s">
        <v>10</v>
      </c>
      <c r="N208" s="52" t="s">
        <v>27</v>
      </c>
      <c r="O208" s="80">
        <f>+L208*H208</f>
        <v>181500</v>
      </c>
    </row>
    <row r="209" spans="2:15" ht="20.100000000000001" customHeight="1" x14ac:dyDescent="0.3">
      <c r="B209" s="59"/>
      <c r="C209" s="59"/>
      <c r="D209" s="52" t="s">
        <v>103</v>
      </c>
      <c r="H209" s="57">
        <v>0.27500000000000002</v>
      </c>
      <c r="I209" s="52" t="s">
        <v>16</v>
      </c>
      <c r="J209" s="52" t="s">
        <v>8</v>
      </c>
      <c r="K209" s="52" t="s">
        <v>27</v>
      </c>
      <c r="L209" s="53">
        <f>'UPah &amp; Bahan oke'!H10</f>
        <v>153000</v>
      </c>
      <c r="M209" s="52" t="s">
        <v>10</v>
      </c>
      <c r="N209" s="52" t="s">
        <v>27</v>
      </c>
      <c r="O209" s="80">
        <f>+L209*H209</f>
        <v>42075</v>
      </c>
    </row>
    <row r="210" spans="2:15" ht="20.100000000000001" customHeight="1" x14ac:dyDescent="0.3">
      <c r="B210" s="59"/>
      <c r="C210" s="59"/>
      <c r="D210" s="52" t="s">
        <v>18</v>
      </c>
      <c r="H210" s="52">
        <v>2.8000000000000001E-2</v>
      </c>
      <c r="I210" s="52" t="s">
        <v>16</v>
      </c>
      <c r="J210" s="52" t="s">
        <v>8</v>
      </c>
      <c r="K210" s="52" t="s">
        <v>27</v>
      </c>
      <c r="L210" s="53">
        <f>'UPah &amp; Bahan oke'!H11</f>
        <v>170000</v>
      </c>
      <c r="M210" s="52" t="s">
        <v>10</v>
      </c>
      <c r="N210" s="52" t="s">
        <v>27</v>
      </c>
      <c r="O210" s="80">
        <f>+L210*H210</f>
        <v>4760</v>
      </c>
    </row>
    <row r="211" spans="2:15" ht="20.100000000000001" customHeight="1" x14ac:dyDescent="0.3">
      <c r="B211" s="59"/>
      <c r="C211" s="59"/>
      <c r="D211" s="52" t="s">
        <v>19</v>
      </c>
      <c r="H211" s="57">
        <v>8.3000000000000004E-2</v>
      </c>
      <c r="I211" s="52" t="s">
        <v>16</v>
      </c>
      <c r="J211" s="52" t="s">
        <v>8</v>
      </c>
      <c r="K211" s="52" t="s">
        <v>27</v>
      </c>
      <c r="L211" s="53">
        <f>'UPah &amp; Bahan oke'!H12</f>
        <v>150000</v>
      </c>
      <c r="M211" s="52" t="s">
        <v>10</v>
      </c>
      <c r="N211" s="52" t="s">
        <v>27</v>
      </c>
      <c r="O211" s="82">
        <f>+L211*H211</f>
        <v>12450</v>
      </c>
    </row>
    <row r="212" spans="2:15" ht="20.100000000000001" customHeight="1" x14ac:dyDescent="0.3">
      <c r="K212" s="78" t="s">
        <v>20</v>
      </c>
      <c r="M212" s="52" t="s">
        <v>10</v>
      </c>
      <c r="N212" s="52" t="s">
        <v>27</v>
      </c>
      <c r="O212" s="83">
        <f>SUM(O208:O211)</f>
        <v>240785</v>
      </c>
    </row>
    <row r="213" spans="2:15" ht="20.100000000000001" customHeight="1" x14ac:dyDescent="0.3">
      <c r="K213" s="78" t="s">
        <v>21</v>
      </c>
      <c r="M213" s="52" t="s">
        <v>10</v>
      </c>
      <c r="N213" s="52" t="s">
        <v>27</v>
      </c>
      <c r="O213" s="132">
        <f>+O212+O206</f>
        <v>1197514.1666666665</v>
      </c>
    </row>
    <row r="214" spans="2:15" ht="20.100000000000001" customHeight="1" x14ac:dyDescent="0.3">
      <c r="K214" s="78"/>
      <c r="M214" s="52"/>
      <c r="O214" s="132"/>
    </row>
    <row r="215" spans="2:15" ht="20.100000000000001" customHeight="1" x14ac:dyDescent="0.3">
      <c r="K215" s="78"/>
      <c r="M215" s="52"/>
      <c r="O215" s="132"/>
    </row>
    <row r="216" spans="2:15" ht="20.100000000000001" customHeight="1" x14ac:dyDescent="0.3">
      <c r="B216" s="56" t="s">
        <v>535</v>
      </c>
      <c r="C216" s="56"/>
      <c r="D216" s="56" t="s">
        <v>346</v>
      </c>
      <c r="E216" s="56" t="s">
        <v>533</v>
      </c>
      <c r="F216" s="56"/>
      <c r="G216" s="56"/>
      <c r="H216" s="56"/>
      <c r="K216" s="78"/>
      <c r="M216" s="52"/>
      <c r="N216" s="80"/>
      <c r="O216" s="63"/>
    </row>
    <row r="217" spans="2:15" ht="20.100000000000001" customHeight="1" x14ac:dyDescent="0.3">
      <c r="B217" s="56"/>
      <c r="C217" s="56" t="s">
        <v>534</v>
      </c>
      <c r="D217" s="56" t="s">
        <v>5</v>
      </c>
      <c r="E217" s="56"/>
      <c r="K217" s="78"/>
      <c r="M217" s="52"/>
      <c r="N217" s="80"/>
      <c r="O217" s="63"/>
    </row>
    <row r="218" spans="2:15" ht="20.100000000000001" customHeight="1" x14ac:dyDescent="0.3">
      <c r="B218" s="59"/>
      <c r="C218" s="59"/>
      <c r="D218" s="52" t="s">
        <v>59</v>
      </c>
      <c r="H218" s="57">
        <v>247</v>
      </c>
      <c r="I218" s="52" t="s">
        <v>12</v>
      </c>
      <c r="J218" s="52" t="s">
        <v>8</v>
      </c>
      <c r="K218" s="52" t="s">
        <v>27</v>
      </c>
      <c r="L218" s="53">
        <f>'UPah &amp; Bahan oke'!H29</f>
        <v>1687.5</v>
      </c>
      <c r="M218" s="52" t="s">
        <v>10</v>
      </c>
      <c r="N218" s="52" t="s">
        <v>27</v>
      </c>
      <c r="O218" s="80">
        <f>+L218*H218</f>
        <v>416812.5</v>
      </c>
    </row>
    <row r="219" spans="2:15" ht="20.100000000000001" customHeight="1" x14ac:dyDescent="0.3">
      <c r="B219" s="59"/>
      <c r="C219" s="59"/>
      <c r="D219" s="52" t="s">
        <v>71</v>
      </c>
      <c r="H219" s="57">
        <v>869</v>
      </c>
      <c r="I219" s="52" t="s">
        <v>12</v>
      </c>
      <c r="J219" s="52" t="s">
        <v>8</v>
      </c>
      <c r="K219" s="52" t="s">
        <v>27</v>
      </c>
      <c r="L219" s="53">
        <f>'UPah &amp; Bahan oke'!H20</f>
        <v>250</v>
      </c>
      <c r="M219" s="52" t="s">
        <v>10</v>
      </c>
      <c r="N219" s="52" t="s">
        <v>27</v>
      </c>
      <c r="O219" s="80">
        <f>+L219*H219</f>
        <v>217250</v>
      </c>
    </row>
    <row r="220" spans="2:15" ht="20.100000000000001" customHeight="1" x14ac:dyDescent="0.3">
      <c r="B220" s="59"/>
      <c r="C220" s="59"/>
      <c r="D220" s="52" t="s">
        <v>72</v>
      </c>
      <c r="H220" s="57">
        <v>999</v>
      </c>
      <c r="I220" s="52" t="s">
        <v>12</v>
      </c>
      <c r="J220" s="52" t="s">
        <v>8</v>
      </c>
      <c r="K220" s="52" t="s">
        <v>27</v>
      </c>
      <c r="L220" s="53">
        <f>'UPah &amp; Bahan oke'!H22</f>
        <v>138.88888888888889</v>
      </c>
      <c r="M220" s="52" t="s">
        <v>10</v>
      </c>
      <c r="N220" s="52" t="s">
        <v>27</v>
      </c>
      <c r="O220" s="80">
        <f>+L220*H220</f>
        <v>138750</v>
      </c>
    </row>
    <row r="221" spans="2:15" ht="20.100000000000001" customHeight="1" x14ac:dyDescent="0.3">
      <c r="B221" s="59"/>
      <c r="C221" s="59"/>
      <c r="D221" s="52" t="s">
        <v>73</v>
      </c>
      <c r="H221" s="57">
        <v>215</v>
      </c>
      <c r="I221" s="52" t="s">
        <v>74</v>
      </c>
      <c r="J221" s="52" t="s">
        <v>8</v>
      </c>
      <c r="K221" s="52" t="s">
        <v>27</v>
      </c>
      <c r="L221" s="53">
        <f>'UPah &amp; Bahan oke'!H33</f>
        <v>50</v>
      </c>
      <c r="M221" s="52" t="s">
        <v>10</v>
      </c>
      <c r="N221" s="52" t="s">
        <v>27</v>
      </c>
      <c r="O221" s="82">
        <f>+L221*H221</f>
        <v>10750</v>
      </c>
    </row>
    <row r="222" spans="2:15" ht="20.100000000000001" customHeight="1" x14ac:dyDescent="0.3">
      <c r="K222" s="78" t="s">
        <v>13</v>
      </c>
      <c r="M222" s="52" t="s">
        <v>10</v>
      </c>
      <c r="N222" s="52" t="s">
        <v>27</v>
      </c>
      <c r="O222" s="80">
        <f>SUM(O218:O221)</f>
        <v>783562.5</v>
      </c>
    </row>
    <row r="223" spans="2:15" ht="20.100000000000001" customHeight="1" x14ac:dyDescent="0.3">
      <c r="B223" s="58"/>
      <c r="C223" s="55" t="s">
        <v>75</v>
      </c>
      <c r="D223" s="56" t="s">
        <v>15</v>
      </c>
      <c r="E223" s="56"/>
      <c r="M223" s="52"/>
      <c r="O223" s="80"/>
    </row>
    <row r="224" spans="2:15" ht="20.100000000000001" customHeight="1" x14ac:dyDescent="0.3">
      <c r="B224" s="59"/>
      <c r="C224" s="59"/>
      <c r="D224" s="52" t="s">
        <v>17</v>
      </c>
      <c r="H224" s="57">
        <v>1.65</v>
      </c>
      <c r="I224" s="52" t="s">
        <v>16</v>
      </c>
      <c r="J224" s="52" t="s">
        <v>8</v>
      </c>
      <c r="K224" s="52" t="s">
        <v>27</v>
      </c>
      <c r="L224" s="53">
        <f>VLOOKUP(D224,'UPah &amp; Bahan oke'!$D$9:$H$169,5,0)</f>
        <v>110000</v>
      </c>
      <c r="M224" s="52" t="s">
        <v>10</v>
      </c>
      <c r="N224" s="52" t="s">
        <v>27</v>
      </c>
      <c r="O224" s="80">
        <f>+L224*H224</f>
        <v>181500</v>
      </c>
    </row>
    <row r="225" spans="2:15" ht="20.100000000000001" customHeight="1" x14ac:dyDescent="0.3">
      <c r="B225" s="59"/>
      <c r="C225" s="59"/>
      <c r="D225" s="52" t="s">
        <v>103</v>
      </c>
      <c r="H225" s="57">
        <v>0.27500000000000002</v>
      </c>
      <c r="I225" s="52" t="s">
        <v>16</v>
      </c>
      <c r="J225" s="52" t="s">
        <v>8</v>
      </c>
      <c r="K225" s="52" t="s">
        <v>27</v>
      </c>
      <c r="L225" s="53">
        <f>VLOOKUP(D225,'UPah &amp; Bahan oke'!$D$9:$H$169,5,0)</f>
        <v>153000</v>
      </c>
      <c r="M225" s="52" t="s">
        <v>10</v>
      </c>
      <c r="N225" s="52" t="s">
        <v>27</v>
      </c>
      <c r="O225" s="80">
        <f>+L225*H225</f>
        <v>42075</v>
      </c>
    </row>
    <row r="226" spans="2:15" ht="20.100000000000001" customHeight="1" x14ac:dyDescent="0.3">
      <c r="B226" s="59"/>
      <c r="C226" s="59"/>
      <c r="D226" s="52" t="s">
        <v>18</v>
      </c>
      <c r="H226" s="52">
        <v>2.8000000000000001E-2</v>
      </c>
      <c r="I226" s="52" t="s">
        <v>16</v>
      </c>
      <c r="J226" s="52" t="s">
        <v>8</v>
      </c>
      <c r="K226" s="52" t="s">
        <v>27</v>
      </c>
      <c r="L226" s="53">
        <f>VLOOKUP(D226,'UPah &amp; Bahan oke'!$D$9:$H$169,5,0)</f>
        <v>170000</v>
      </c>
      <c r="M226" s="52" t="s">
        <v>10</v>
      </c>
      <c r="N226" s="52" t="s">
        <v>27</v>
      </c>
      <c r="O226" s="80">
        <f>+L226*H226</f>
        <v>4760</v>
      </c>
    </row>
    <row r="227" spans="2:15" ht="20.100000000000001" customHeight="1" x14ac:dyDescent="0.3">
      <c r="B227" s="59"/>
      <c r="C227" s="59"/>
      <c r="D227" s="52" t="s">
        <v>19</v>
      </c>
      <c r="H227" s="57">
        <v>8.3000000000000004E-2</v>
      </c>
      <c r="I227" s="52" t="s">
        <v>16</v>
      </c>
      <c r="J227" s="52" t="s">
        <v>8</v>
      </c>
      <c r="K227" s="52" t="s">
        <v>27</v>
      </c>
      <c r="L227" s="53">
        <f>VLOOKUP(D227,'UPah &amp; Bahan oke'!$D$9:$H$169,5,0)</f>
        <v>150000</v>
      </c>
      <c r="M227" s="52" t="s">
        <v>10</v>
      </c>
      <c r="N227" s="52" t="s">
        <v>27</v>
      </c>
      <c r="O227" s="82">
        <f>+L227*H227</f>
        <v>12450</v>
      </c>
    </row>
    <row r="228" spans="2:15" ht="20.100000000000001" customHeight="1" x14ac:dyDescent="0.3">
      <c r="K228" s="78" t="s">
        <v>20</v>
      </c>
      <c r="M228" s="52" t="s">
        <v>10</v>
      </c>
      <c r="N228" s="52" t="s">
        <v>27</v>
      </c>
      <c r="O228" s="83">
        <f>SUM(O224:O227)</f>
        <v>240785</v>
      </c>
    </row>
    <row r="229" spans="2:15" ht="20.100000000000001" customHeight="1" x14ac:dyDescent="0.3">
      <c r="K229" s="78" t="s">
        <v>21</v>
      </c>
      <c r="M229" s="52" t="s">
        <v>10</v>
      </c>
      <c r="N229" s="52" t="s">
        <v>27</v>
      </c>
      <c r="O229" s="132">
        <f>+O228+O222</f>
        <v>1024347.5</v>
      </c>
    </row>
    <row r="230" spans="2:15" ht="20.100000000000001" customHeight="1" x14ac:dyDescent="0.3">
      <c r="K230" s="78"/>
      <c r="M230" s="52"/>
      <c r="O230" s="132"/>
    </row>
    <row r="231" spans="2:15" ht="20.100000000000001" customHeight="1" x14ac:dyDescent="0.3"/>
    <row r="232" spans="2:15" ht="20.100000000000001" hidden="1" customHeight="1" x14ac:dyDescent="0.3">
      <c r="B232" s="274" t="s">
        <v>69</v>
      </c>
      <c r="C232" s="274" t="s">
        <v>382</v>
      </c>
      <c r="D232" s="274" t="s">
        <v>462</v>
      </c>
      <c r="E232" s="274" t="s">
        <v>463</v>
      </c>
    </row>
    <row r="233" spans="2:15" ht="20.100000000000001" customHeight="1" x14ac:dyDescent="0.3">
      <c r="B233" s="56" t="s">
        <v>69</v>
      </c>
      <c r="C233" s="56" t="s">
        <v>382</v>
      </c>
      <c r="D233" s="56" t="s">
        <v>128</v>
      </c>
      <c r="F233" s="56"/>
      <c r="G233" s="56"/>
      <c r="H233" s="56"/>
      <c r="K233" s="78"/>
      <c r="M233" s="52"/>
      <c r="N233" s="80"/>
    </row>
    <row r="234" spans="2:15" ht="20.100000000000001" customHeight="1" x14ac:dyDescent="0.3">
      <c r="B234" s="56"/>
      <c r="C234" s="56" t="s">
        <v>78</v>
      </c>
      <c r="D234" s="56" t="s">
        <v>5</v>
      </c>
      <c r="E234" s="56"/>
      <c r="K234" s="78"/>
      <c r="M234" s="52"/>
      <c r="N234" s="80"/>
    </row>
    <row r="235" spans="2:15" ht="20.100000000000001" customHeight="1" x14ac:dyDescent="0.3">
      <c r="B235" s="59"/>
      <c r="C235" s="59"/>
      <c r="D235" s="52" t="s">
        <v>130</v>
      </c>
      <c r="H235" s="57">
        <v>10.5</v>
      </c>
      <c r="I235" s="52" t="s">
        <v>12</v>
      </c>
      <c r="J235" s="52" t="s">
        <v>8</v>
      </c>
      <c r="K235" s="52" t="s">
        <v>27</v>
      </c>
      <c r="L235" s="53">
        <f>'UPah &amp; Bahan oke'!H34</f>
        <v>13000</v>
      </c>
      <c r="M235" s="52" t="s">
        <v>10</v>
      </c>
      <c r="N235" s="52" t="s">
        <v>27</v>
      </c>
      <c r="O235" s="53">
        <f>+L235*H235</f>
        <v>136500</v>
      </c>
    </row>
    <row r="236" spans="2:15" ht="20.100000000000001" customHeight="1" x14ac:dyDescent="0.3">
      <c r="B236" s="59"/>
      <c r="C236" s="59"/>
      <c r="D236" s="52" t="s">
        <v>79</v>
      </c>
      <c r="H236" s="57">
        <v>0.15</v>
      </c>
      <c r="I236" s="52" t="s">
        <v>12</v>
      </c>
      <c r="J236" s="52" t="s">
        <v>8</v>
      </c>
      <c r="K236" s="52" t="s">
        <v>27</v>
      </c>
      <c r="L236" s="53">
        <f>'UPah &amp; Bahan oke'!H35</f>
        <v>26000</v>
      </c>
      <c r="M236" s="52" t="s">
        <v>10</v>
      </c>
      <c r="N236" s="52" t="s">
        <v>27</v>
      </c>
      <c r="O236" s="77">
        <f>+L236*H236</f>
        <v>3900</v>
      </c>
    </row>
    <row r="237" spans="2:15" ht="20.100000000000001" customHeight="1" x14ac:dyDescent="0.3">
      <c r="K237" s="53" t="s">
        <v>13</v>
      </c>
      <c r="M237" s="52" t="s">
        <v>10</v>
      </c>
      <c r="N237" s="52" t="s">
        <v>27</v>
      </c>
      <c r="O237" s="53">
        <f>SUM(O235:O236)</f>
        <v>140400</v>
      </c>
    </row>
    <row r="238" spans="2:15" ht="20.100000000000001" customHeight="1" x14ac:dyDescent="0.3">
      <c r="B238" s="58"/>
      <c r="C238" s="55" t="s">
        <v>80</v>
      </c>
      <c r="D238" s="56" t="s">
        <v>15</v>
      </c>
      <c r="E238" s="56"/>
      <c r="M238" s="52"/>
    </row>
    <row r="239" spans="2:15" ht="20.100000000000001" customHeight="1" x14ac:dyDescent="0.3">
      <c r="B239" s="59"/>
      <c r="C239" s="59"/>
      <c r="D239" s="52" t="s">
        <v>17</v>
      </c>
      <c r="H239" s="57">
        <v>7.0000000000000007E-2</v>
      </c>
      <c r="I239" s="52" t="s">
        <v>16</v>
      </c>
      <c r="J239" s="52" t="s">
        <v>8</v>
      </c>
      <c r="K239" s="52" t="s">
        <v>27</v>
      </c>
      <c r="L239" s="53">
        <f>'UPah &amp; Bahan oke'!H9</f>
        <v>110000</v>
      </c>
      <c r="M239" s="52" t="s">
        <v>10</v>
      </c>
      <c r="N239" s="52" t="s">
        <v>27</v>
      </c>
      <c r="O239" s="53">
        <f>+L239*H239</f>
        <v>7700.0000000000009</v>
      </c>
    </row>
    <row r="240" spans="2:15" ht="20.100000000000001" customHeight="1" x14ac:dyDescent="0.3">
      <c r="B240" s="59"/>
      <c r="C240" s="59"/>
      <c r="D240" s="52" t="s">
        <v>103</v>
      </c>
      <c r="H240" s="57">
        <v>7.0000000000000007E-2</v>
      </c>
      <c r="I240" s="52" t="s">
        <v>16</v>
      </c>
      <c r="J240" s="52" t="s">
        <v>8</v>
      </c>
      <c r="K240" s="52" t="s">
        <v>27</v>
      </c>
      <c r="L240" s="53">
        <f>'UPah &amp; Bahan oke'!H10</f>
        <v>153000</v>
      </c>
      <c r="M240" s="52" t="s">
        <v>10</v>
      </c>
      <c r="N240" s="52" t="s">
        <v>27</v>
      </c>
      <c r="O240" s="53">
        <f>+L240*H240</f>
        <v>10710.000000000002</v>
      </c>
    </row>
    <row r="241" spans="2:15" ht="20.100000000000001" customHeight="1" x14ac:dyDescent="0.3">
      <c r="B241" s="59"/>
      <c r="C241" s="59"/>
      <c r="D241" s="52" t="s">
        <v>18</v>
      </c>
      <c r="H241" s="52">
        <v>7.0000000000000001E-3</v>
      </c>
      <c r="I241" s="52" t="s">
        <v>16</v>
      </c>
      <c r="J241" s="52" t="s">
        <v>8</v>
      </c>
      <c r="K241" s="52" t="s">
        <v>27</v>
      </c>
      <c r="L241" s="53">
        <f>'UPah &amp; Bahan oke'!H11</f>
        <v>170000</v>
      </c>
      <c r="M241" s="52" t="s">
        <v>10</v>
      </c>
      <c r="N241" s="52" t="s">
        <v>27</v>
      </c>
      <c r="O241" s="53">
        <f>+L241*H241</f>
        <v>1190</v>
      </c>
    </row>
    <row r="242" spans="2:15" ht="20.100000000000001" customHeight="1" x14ac:dyDescent="0.3">
      <c r="B242" s="59"/>
      <c r="C242" s="59"/>
      <c r="D242" s="52" t="s">
        <v>19</v>
      </c>
      <c r="H242" s="57">
        <v>4.0000000000000001E-3</v>
      </c>
      <c r="I242" s="52" t="s">
        <v>16</v>
      </c>
      <c r="J242" s="52" t="s">
        <v>8</v>
      </c>
      <c r="K242" s="52" t="s">
        <v>27</v>
      </c>
      <c r="L242" s="53">
        <f>'UPah &amp; Bahan oke'!H12</f>
        <v>150000</v>
      </c>
      <c r="M242" s="52" t="s">
        <v>10</v>
      </c>
      <c r="N242" s="52" t="s">
        <v>27</v>
      </c>
      <c r="O242" s="77">
        <f>+L242*H242</f>
        <v>600</v>
      </c>
    </row>
    <row r="243" spans="2:15" ht="20.100000000000001" customHeight="1" x14ac:dyDescent="0.3">
      <c r="K243" s="53" t="s">
        <v>20</v>
      </c>
      <c r="M243" s="52" t="s">
        <v>10</v>
      </c>
      <c r="N243" s="52" t="s">
        <v>27</v>
      </c>
      <c r="O243" s="63">
        <f>SUM(O239:O242)</f>
        <v>20200.000000000004</v>
      </c>
    </row>
    <row r="244" spans="2:15" ht="20.100000000000001" customHeight="1" x14ac:dyDescent="0.3">
      <c r="K244" s="53" t="s">
        <v>21</v>
      </c>
      <c r="M244" s="52" t="s">
        <v>10</v>
      </c>
      <c r="N244" s="52" t="s">
        <v>27</v>
      </c>
      <c r="O244" s="63">
        <f>+O243+O237</f>
        <v>160600</v>
      </c>
    </row>
    <row r="245" spans="2:15" ht="20.100000000000001" customHeight="1" x14ac:dyDescent="0.3">
      <c r="D245" s="84" t="s">
        <v>129</v>
      </c>
      <c r="M245" s="84" t="s">
        <v>10</v>
      </c>
      <c r="N245" s="84" t="s">
        <v>27</v>
      </c>
      <c r="O245" s="85">
        <f>O244/10</f>
        <v>16060</v>
      </c>
    </row>
    <row r="246" spans="2:15" ht="20.100000000000001" customHeight="1" x14ac:dyDescent="0.3"/>
    <row r="247" spans="2:15" ht="20.100000000000001" customHeight="1" x14ac:dyDescent="0.3">
      <c r="B247" s="56" t="s">
        <v>69</v>
      </c>
      <c r="C247" s="56" t="s">
        <v>386</v>
      </c>
      <c r="D247" s="56" t="s">
        <v>465</v>
      </c>
      <c r="E247" s="56" t="s">
        <v>472</v>
      </c>
      <c r="F247" s="56"/>
      <c r="G247" s="56"/>
      <c r="H247" s="56"/>
      <c r="K247" s="78"/>
      <c r="M247" s="52"/>
      <c r="N247" s="80"/>
    </row>
    <row r="248" spans="2:15" ht="20.100000000000001" customHeight="1" x14ac:dyDescent="0.3">
      <c r="B248" s="56"/>
      <c r="C248" s="56" t="s">
        <v>81</v>
      </c>
      <c r="D248" s="56" t="s">
        <v>5</v>
      </c>
      <c r="E248" s="56"/>
      <c r="K248" s="78"/>
      <c r="M248" s="52"/>
      <c r="N248" s="80"/>
    </row>
    <row r="249" spans="2:15" ht="20.100000000000001" customHeight="1" x14ac:dyDescent="0.3">
      <c r="B249" s="59"/>
      <c r="C249" s="59"/>
      <c r="D249" s="60" t="s">
        <v>82</v>
      </c>
      <c r="H249" s="57">
        <v>0.04</v>
      </c>
      <c r="I249" s="52" t="s">
        <v>37</v>
      </c>
      <c r="J249" s="52" t="s">
        <v>8</v>
      </c>
      <c r="K249" s="52" t="s">
        <v>27</v>
      </c>
      <c r="L249" s="53">
        <f>'UPah &amp; Bahan oke'!H42</f>
        <v>5200000</v>
      </c>
      <c r="M249" s="52" t="s">
        <v>10</v>
      </c>
      <c r="N249" s="52" t="s">
        <v>27</v>
      </c>
      <c r="O249" s="53">
        <f>+L249*H249</f>
        <v>208000</v>
      </c>
    </row>
    <row r="250" spans="2:15" ht="20.100000000000001" customHeight="1" x14ac:dyDescent="0.3">
      <c r="B250" s="59"/>
      <c r="C250" s="59"/>
      <c r="D250" s="60" t="s">
        <v>11</v>
      </c>
      <c r="H250" s="57">
        <v>0.3</v>
      </c>
      <c r="I250" s="52" t="s">
        <v>12</v>
      </c>
      <c r="J250" s="52" t="s">
        <v>8</v>
      </c>
      <c r="K250" s="52" t="s">
        <v>27</v>
      </c>
      <c r="L250" s="53">
        <f>'UPah &amp; Bahan oke'!H37</f>
        <v>20000</v>
      </c>
      <c r="M250" s="52" t="s">
        <v>10</v>
      </c>
      <c r="N250" s="52" t="s">
        <v>27</v>
      </c>
      <c r="O250" s="53">
        <f>+L250*H250</f>
        <v>6000</v>
      </c>
    </row>
    <row r="251" spans="2:15" ht="20.100000000000001" customHeight="1" x14ac:dyDescent="0.3">
      <c r="B251" s="59"/>
      <c r="C251" s="59"/>
      <c r="D251" s="60" t="s">
        <v>83</v>
      </c>
      <c r="H251" s="57">
        <v>0.1</v>
      </c>
      <c r="I251" s="52" t="s">
        <v>12</v>
      </c>
      <c r="J251" s="52" t="s">
        <v>8</v>
      </c>
      <c r="K251" s="52" t="s">
        <v>27</v>
      </c>
      <c r="L251" s="53">
        <f>'UPah &amp; Bahan oke'!H38</f>
        <v>22000</v>
      </c>
      <c r="M251" s="52" t="s">
        <v>10</v>
      </c>
      <c r="N251" s="52" t="s">
        <v>27</v>
      </c>
      <c r="O251" s="77">
        <f>+L251*H251</f>
        <v>2200</v>
      </c>
    </row>
    <row r="252" spans="2:15" ht="20.100000000000001" customHeight="1" x14ac:dyDescent="0.3">
      <c r="K252" s="53" t="s">
        <v>13</v>
      </c>
      <c r="M252" s="52" t="s">
        <v>10</v>
      </c>
      <c r="N252" s="52" t="s">
        <v>27</v>
      </c>
      <c r="O252" s="53">
        <f>SUM(O249:O251)</f>
        <v>216200</v>
      </c>
    </row>
    <row r="253" spans="2:15" ht="20.100000000000001" customHeight="1" x14ac:dyDescent="0.3">
      <c r="B253" s="58"/>
      <c r="C253" s="55" t="s">
        <v>84</v>
      </c>
      <c r="D253" s="56" t="s">
        <v>15</v>
      </c>
      <c r="E253" s="56"/>
      <c r="M253" s="52"/>
    </row>
    <row r="254" spans="2:15" ht="20.100000000000001" customHeight="1" x14ac:dyDescent="0.3">
      <c r="B254" s="59"/>
      <c r="C254" s="59"/>
      <c r="D254" s="52" t="s">
        <v>17</v>
      </c>
      <c r="H254" s="57">
        <v>0.52</v>
      </c>
      <c r="I254" s="52" t="s">
        <v>16</v>
      </c>
      <c r="J254" s="52" t="s">
        <v>8</v>
      </c>
      <c r="K254" s="52" t="s">
        <v>27</v>
      </c>
      <c r="L254" s="53">
        <f>'UPah &amp; Bahan oke'!H9</f>
        <v>110000</v>
      </c>
      <c r="M254" s="52" t="s">
        <v>10</v>
      </c>
      <c r="N254" s="52" t="s">
        <v>27</v>
      </c>
      <c r="O254" s="53">
        <f>+L254*H254</f>
        <v>57200</v>
      </c>
    </row>
    <row r="255" spans="2:15" ht="20.100000000000001" customHeight="1" x14ac:dyDescent="0.3">
      <c r="B255" s="59"/>
      <c r="C255" s="59"/>
      <c r="D255" s="52" t="s">
        <v>103</v>
      </c>
      <c r="H255" s="57">
        <v>0.26</v>
      </c>
      <c r="I255" s="52" t="s">
        <v>16</v>
      </c>
      <c r="J255" s="52" t="s">
        <v>8</v>
      </c>
      <c r="K255" s="52" t="s">
        <v>27</v>
      </c>
      <c r="L255" s="53">
        <f>'UPah &amp; Bahan oke'!H10</f>
        <v>153000</v>
      </c>
      <c r="M255" s="52" t="s">
        <v>10</v>
      </c>
      <c r="N255" s="52" t="s">
        <v>27</v>
      </c>
      <c r="O255" s="53">
        <f>+L255*H255</f>
        <v>39780</v>
      </c>
    </row>
    <row r="256" spans="2:15" ht="20.100000000000001" customHeight="1" x14ac:dyDescent="0.3">
      <c r="B256" s="59"/>
      <c r="C256" s="59"/>
      <c r="D256" s="52" t="s">
        <v>18</v>
      </c>
      <c r="H256" s="52">
        <v>2.5999999999999999E-2</v>
      </c>
      <c r="I256" s="52" t="s">
        <v>16</v>
      </c>
      <c r="J256" s="52" t="s">
        <v>8</v>
      </c>
      <c r="K256" s="52" t="s">
        <v>27</v>
      </c>
      <c r="L256" s="53">
        <f>'UPah &amp; Bahan oke'!H11</f>
        <v>170000</v>
      </c>
      <c r="M256" s="52" t="s">
        <v>10</v>
      </c>
      <c r="N256" s="52" t="s">
        <v>27</v>
      </c>
      <c r="O256" s="53">
        <f>+L256*H256</f>
        <v>4420</v>
      </c>
    </row>
    <row r="257" spans="2:15" ht="20.100000000000001" customHeight="1" x14ac:dyDescent="0.3">
      <c r="B257" s="59"/>
      <c r="C257" s="59"/>
      <c r="D257" s="52" t="s">
        <v>19</v>
      </c>
      <c r="H257" s="57">
        <v>2.5999999999999999E-2</v>
      </c>
      <c r="I257" s="52" t="s">
        <v>16</v>
      </c>
      <c r="J257" s="52" t="s">
        <v>8</v>
      </c>
      <c r="K257" s="52" t="s">
        <v>27</v>
      </c>
      <c r="L257" s="53">
        <f>'UPah &amp; Bahan oke'!H12</f>
        <v>150000</v>
      </c>
      <c r="M257" s="52" t="s">
        <v>10</v>
      </c>
      <c r="N257" s="52" t="s">
        <v>27</v>
      </c>
      <c r="O257" s="77">
        <f>+L257*H257</f>
        <v>3900</v>
      </c>
    </row>
    <row r="258" spans="2:15" ht="20.100000000000001" customHeight="1" x14ac:dyDescent="0.3">
      <c r="K258" s="53" t="s">
        <v>20</v>
      </c>
      <c r="M258" s="52" t="s">
        <v>10</v>
      </c>
      <c r="N258" s="52" t="s">
        <v>27</v>
      </c>
      <c r="O258" s="63">
        <f>SUM(O254:O257)</f>
        <v>105300</v>
      </c>
    </row>
    <row r="259" spans="2:15" ht="20.100000000000001" customHeight="1" x14ac:dyDescent="0.3">
      <c r="K259" s="53" t="s">
        <v>21</v>
      </c>
      <c r="M259" s="52" t="s">
        <v>10</v>
      </c>
      <c r="N259" s="52" t="s">
        <v>27</v>
      </c>
      <c r="O259" s="63">
        <f>+O258+O252</f>
        <v>321500</v>
      </c>
    </row>
    <row r="260" spans="2:15" ht="20.100000000000001" customHeight="1" x14ac:dyDescent="0.3">
      <c r="D260" s="52" t="s">
        <v>138</v>
      </c>
      <c r="M260" s="52" t="s">
        <v>10</v>
      </c>
      <c r="N260" s="52" t="s">
        <v>27</v>
      </c>
      <c r="O260" s="131">
        <f>O259/3</f>
        <v>107166.66666666667</v>
      </c>
    </row>
    <row r="261" spans="2:15" ht="20.100000000000001" customHeight="1" x14ac:dyDescent="0.3">
      <c r="M261" s="52"/>
      <c r="O261" s="63"/>
    </row>
    <row r="262" spans="2:15" ht="20.100000000000001" customHeight="1" x14ac:dyDescent="0.3">
      <c r="B262" s="56" t="s">
        <v>69</v>
      </c>
      <c r="C262" s="56" t="s">
        <v>387</v>
      </c>
      <c r="D262" s="56" t="s">
        <v>474</v>
      </c>
      <c r="E262" s="56" t="s">
        <v>473</v>
      </c>
      <c r="F262" s="56"/>
      <c r="H262" s="56"/>
      <c r="I262" s="56"/>
      <c r="M262" s="52"/>
    </row>
    <row r="263" spans="2:15" ht="20.100000000000001" customHeight="1" x14ac:dyDescent="0.3">
      <c r="B263" s="56"/>
      <c r="C263" s="56" t="s">
        <v>85</v>
      </c>
      <c r="D263" s="56" t="s">
        <v>5</v>
      </c>
      <c r="E263" s="56"/>
      <c r="M263" s="52"/>
    </row>
    <row r="264" spans="2:15" ht="20.100000000000001" customHeight="1" x14ac:dyDescent="0.3">
      <c r="B264" s="59"/>
      <c r="C264" s="59"/>
      <c r="D264" s="60" t="s">
        <v>82</v>
      </c>
      <c r="H264" s="57">
        <v>4.4999999999999998E-2</v>
      </c>
      <c r="I264" s="52" t="s">
        <v>37</v>
      </c>
      <c r="J264" s="52" t="s">
        <v>8</v>
      </c>
      <c r="K264" s="52" t="s">
        <v>27</v>
      </c>
      <c r="L264" s="53">
        <f>'UPah &amp; Bahan oke'!H42</f>
        <v>5200000</v>
      </c>
      <c r="M264" s="52" t="s">
        <v>10</v>
      </c>
      <c r="N264" s="52" t="s">
        <v>27</v>
      </c>
      <c r="O264" s="53">
        <f>+L264*H264</f>
        <v>234000</v>
      </c>
    </row>
    <row r="265" spans="2:15" ht="20.100000000000001" customHeight="1" x14ac:dyDescent="0.3">
      <c r="B265" s="59"/>
      <c r="C265" s="59"/>
      <c r="D265" s="60" t="s">
        <v>11</v>
      </c>
      <c r="H265" s="57">
        <v>0.3</v>
      </c>
      <c r="I265" s="52" t="s">
        <v>12</v>
      </c>
      <c r="J265" s="52" t="s">
        <v>8</v>
      </c>
      <c r="K265" s="52" t="s">
        <v>27</v>
      </c>
      <c r="L265" s="53">
        <f>'UPah &amp; Bahan oke'!H37</f>
        <v>20000</v>
      </c>
      <c r="M265" s="52" t="s">
        <v>10</v>
      </c>
      <c r="N265" s="52" t="s">
        <v>27</v>
      </c>
      <c r="O265" s="53">
        <f>+L265*H265</f>
        <v>6000</v>
      </c>
    </row>
    <row r="266" spans="2:15" ht="20.100000000000001" customHeight="1" x14ac:dyDescent="0.3">
      <c r="B266" s="59"/>
      <c r="C266" s="59"/>
      <c r="D266" s="60" t="s">
        <v>83</v>
      </c>
      <c r="H266" s="57">
        <v>0.1</v>
      </c>
      <c r="I266" s="52" t="s">
        <v>12</v>
      </c>
      <c r="J266" s="52" t="s">
        <v>8</v>
      </c>
      <c r="K266" s="52" t="s">
        <v>27</v>
      </c>
      <c r="L266" s="53">
        <f>'UPah &amp; Bahan oke'!H38</f>
        <v>22000</v>
      </c>
      <c r="M266" s="52" t="s">
        <v>10</v>
      </c>
      <c r="N266" s="52" t="s">
        <v>27</v>
      </c>
      <c r="O266" s="77">
        <f>+L266*H266</f>
        <v>2200</v>
      </c>
    </row>
    <row r="267" spans="2:15" ht="20.100000000000001" customHeight="1" x14ac:dyDescent="0.3">
      <c r="K267" s="53" t="s">
        <v>13</v>
      </c>
      <c r="M267" s="52" t="s">
        <v>10</v>
      </c>
      <c r="N267" s="52" t="s">
        <v>27</v>
      </c>
      <c r="O267" s="53">
        <f>SUM(O264:O266)</f>
        <v>242200</v>
      </c>
    </row>
    <row r="268" spans="2:15" ht="20.100000000000001" customHeight="1" x14ac:dyDescent="0.3">
      <c r="B268" s="58"/>
      <c r="C268" s="55" t="s">
        <v>86</v>
      </c>
      <c r="D268" s="56" t="s">
        <v>15</v>
      </c>
      <c r="E268" s="56"/>
      <c r="M268" s="52"/>
    </row>
    <row r="269" spans="2:15" ht="20.100000000000001" customHeight="1" x14ac:dyDescent="0.3">
      <c r="B269" s="59"/>
      <c r="C269" s="59"/>
      <c r="D269" s="52" t="s">
        <v>17</v>
      </c>
      <c r="H269" s="57">
        <v>0.52</v>
      </c>
      <c r="I269" s="52" t="s">
        <v>16</v>
      </c>
      <c r="J269" s="52" t="s">
        <v>8</v>
      </c>
      <c r="K269" s="52" t="s">
        <v>27</v>
      </c>
      <c r="L269" s="53">
        <f>'UPah &amp; Bahan oke'!H9</f>
        <v>110000</v>
      </c>
      <c r="M269" s="52" t="s">
        <v>10</v>
      </c>
      <c r="N269" s="52" t="s">
        <v>27</v>
      </c>
      <c r="O269" s="53">
        <f>+L269*H269</f>
        <v>57200</v>
      </c>
    </row>
    <row r="270" spans="2:15" ht="20.100000000000001" customHeight="1" x14ac:dyDescent="0.3">
      <c r="B270" s="59"/>
      <c r="C270" s="59"/>
      <c r="D270" s="52" t="s">
        <v>103</v>
      </c>
      <c r="H270" s="57">
        <v>0.26</v>
      </c>
      <c r="I270" s="52" t="s">
        <v>16</v>
      </c>
      <c r="J270" s="52" t="s">
        <v>8</v>
      </c>
      <c r="K270" s="52" t="s">
        <v>27</v>
      </c>
      <c r="L270" s="53">
        <f>'UPah &amp; Bahan oke'!H10</f>
        <v>153000</v>
      </c>
      <c r="M270" s="52" t="s">
        <v>10</v>
      </c>
      <c r="N270" s="52" t="s">
        <v>27</v>
      </c>
      <c r="O270" s="53">
        <f>+L270*H270</f>
        <v>39780</v>
      </c>
    </row>
    <row r="271" spans="2:15" ht="20.100000000000001" customHeight="1" x14ac:dyDescent="0.3">
      <c r="B271" s="59"/>
      <c r="C271" s="59"/>
      <c r="D271" s="52" t="s">
        <v>18</v>
      </c>
      <c r="H271" s="52">
        <v>2.5999999999999999E-2</v>
      </c>
      <c r="I271" s="52" t="s">
        <v>16</v>
      </c>
      <c r="J271" s="52" t="s">
        <v>8</v>
      </c>
      <c r="K271" s="52" t="s">
        <v>27</v>
      </c>
      <c r="L271" s="53">
        <f>'UPah &amp; Bahan oke'!H11</f>
        <v>170000</v>
      </c>
      <c r="M271" s="52" t="s">
        <v>10</v>
      </c>
      <c r="N271" s="52" t="s">
        <v>27</v>
      </c>
      <c r="O271" s="53">
        <f>+L271*H271</f>
        <v>4420</v>
      </c>
    </row>
    <row r="272" spans="2:15" ht="20.100000000000001" customHeight="1" x14ac:dyDescent="0.3">
      <c r="B272" s="59"/>
      <c r="C272" s="59"/>
      <c r="D272" s="52" t="s">
        <v>19</v>
      </c>
      <c r="H272" s="57">
        <v>2.5999999999999999E-2</v>
      </c>
      <c r="I272" s="52" t="s">
        <v>16</v>
      </c>
      <c r="J272" s="52" t="s">
        <v>8</v>
      </c>
      <c r="K272" s="52" t="s">
        <v>27</v>
      </c>
      <c r="L272" s="53">
        <f>'UPah &amp; Bahan oke'!H12</f>
        <v>150000</v>
      </c>
      <c r="M272" s="52" t="s">
        <v>10</v>
      </c>
      <c r="N272" s="52" t="s">
        <v>27</v>
      </c>
      <c r="O272" s="77">
        <f>+L272*H272</f>
        <v>3900</v>
      </c>
    </row>
    <row r="273" spans="2:15" ht="20.100000000000001" customHeight="1" x14ac:dyDescent="0.3">
      <c r="K273" s="53" t="s">
        <v>20</v>
      </c>
      <c r="M273" s="52" t="s">
        <v>10</v>
      </c>
      <c r="N273" s="52" t="s">
        <v>27</v>
      </c>
      <c r="O273" s="63">
        <f>SUM(O269:O272)</f>
        <v>105300</v>
      </c>
    </row>
    <row r="274" spans="2:15" ht="20.100000000000001" customHeight="1" x14ac:dyDescent="0.3">
      <c r="K274" s="53" t="s">
        <v>21</v>
      </c>
      <c r="M274" s="52" t="s">
        <v>10</v>
      </c>
      <c r="N274" s="52" t="s">
        <v>27</v>
      </c>
      <c r="O274" s="63">
        <f>+O273+O267</f>
        <v>347500</v>
      </c>
    </row>
    <row r="275" spans="2:15" ht="20.100000000000001" customHeight="1" x14ac:dyDescent="0.3">
      <c r="D275" s="52" t="s">
        <v>138</v>
      </c>
      <c r="M275" s="52" t="s">
        <v>10</v>
      </c>
      <c r="N275" s="52" t="s">
        <v>27</v>
      </c>
      <c r="O275" s="131">
        <f>O274/3</f>
        <v>115833.33333333333</v>
      </c>
    </row>
    <row r="276" spans="2:15" ht="20.100000000000001" customHeight="1" x14ac:dyDescent="0.3">
      <c r="M276" s="52"/>
      <c r="O276" s="63"/>
    </row>
    <row r="277" spans="2:15" ht="20.100000000000001" customHeight="1" x14ac:dyDescent="0.3">
      <c r="B277" s="56" t="s">
        <v>69</v>
      </c>
      <c r="C277" s="56" t="s">
        <v>388</v>
      </c>
      <c r="D277" s="56" t="s">
        <v>465</v>
      </c>
      <c r="E277" s="56" t="s">
        <v>464</v>
      </c>
      <c r="F277" s="56"/>
      <c r="H277" s="56"/>
      <c r="I277" s="56"/>
      <c r="M277" s="52"/>
    </row>
    <row r="278" spans="2:15" ht="20.100000000000001" customHeight="1" x14ac:dyDescent="0.3">
      <c r="B278" s="56"/>
      <c r="C278" s="56" t="s">
        <v>87</v>
      </c>
      <c r="D278" s="56" t="s">
        <v>5</v>
      </c>
      <c r="E278" s="56"/>
      <c r="M278" s="52"/>
    </row>
    <row r="279" spans="2:15" ht="20.100000000000001" customHeight="1" x14ac:dyDescent="0.3">
      <c r="B279" s="59"/>
      <c r="C279" s="59"/>
      <c r="D279" s="60" t="s">
        <v>82</v>
      </c>
      <c r="H279" s="57">
        <v>0.04</v>
      </c>
      <c r="I279" s="52" t="s">
        <v>37</v>
      </c>
      <c r="J279" s="52" t="s">
        <v>8</v>
      </c>
      <c r="K279" s="52" t="s">
        <v>27</v>
      </c>
      <c r="L279" s="53">
        <f>'UPah &amp; Bahan oke'!H42</f>
        <v>5200000</v>
      </c>
      <c r="M279" s="52" t="s">
        <v>10</v>
      </c>
      <c r="N279" s="52" t="s">
        <v>27</v>
      </c>
      <c r="O279" s="53">
        <f t="shared" ref="O279:O284" si="0">+L279*H279</f>
        <v>208000</v>
      </c>
    </row>
    <row r="280" spans="2:15" ht="20.100000000000001" customHeight="1" x14ac:dyDescent="0.3">
      <c r="B280" s="59"/>
      <c r="C280" s="59"/>
      <c r="D280" s="60" t="s">
        <v>11</v>
      </c>
      <c r="H280" s="57">
        <v>0.4</v>
      </c>
      <c r="I280" s="52" t="s">
        <v>12</v>
      </c>
      <c r="J280" s="52" t="s">
        <v>8</v>
      </c>
      <c r="K280" s="52" t="s">
        <v>27</v>
      </c>
      <c r="L280" s="53">
        <f>'UPah &amp; Bahan oke'!H37</f>
        <v>20000</v>
      </c>
      <c r="M280" s="52" t="s">
        <v>10</v>
      </c>
      <c r="N280" s="52" t="s">
        <v>27</v>
      </c>
      <c r="O280" s="53">
        <f t="shared" si="0"/>
        <v>8000</v>
      </c>
    </row>
    <row r="281" spans="2:15" ht="20.100000000000001" customHeight="1" x14ac:dyDescent="0.3">
      <c r="B281" s="59"/>
      <c r="C281" s="59"/>
      <c r="D281" s="52" t="s">
        <v>83</v>
      </c>
      <c r="H281" s="57">
        <v>0.2</v>
      </c>
      <c r="I281" s="52" t="s">
        <v>12</v>
      </c>
      <c r="J281" s="52" t="s">
        <v>8</v>
      </c>
      <c r="K281" s="52" t="s">
        <v>27</v>
      </c>
      <c r="L281" s="53">
        <f>'UPah &amp; Bahan oke'!H38</f>
        <v>22000</v>
      </c>
      <c r="M281" s="52" t="s">
        <v>10</v>
      </c>
      <c r="N281" s="52" t="s">
        <v>27</v>
      </c>
      <c r="O281" s="66">
        <f t="shared" si="0"/>
        <v>4400</v>
      </c>
    </row>
    <row r="282" spans="2:15" ht="20.100000000000001" customHeight="1" x14ac:dyDescent="0.3">
      <c r="B282" s="59"/>
      <c r="C282" s="59"/>
      <c r="D282" s="60" t="s">
        <v>164</v>
      </c>
      <c r="H282" s="57">
        <v>1.4999999999999999E-2</v>
      </c>
      <c r="I282" s="52" t="s">
        <v>37</v>
      </c>
      <c r="J282" s="52" t="s">
        <v>8</v>
      </c>
      <c r="K282" s="52" t="s">
        <v>27</v>
      </c>
      <c r="L282" s="53">
        <f>'UPah &amp; Bahan oke'!H41</f>
        <v>6500000</v>
      </c>
      <c r="M282" s="52" t="s">
        <v>10</v>
      </c>
      <c r="N282" s="52" t="s">
        <v>27</v>
      </c>
      <c r="O282" s="53">
        <f t="shared" si="0"/>
        <v>97500</v>
      </c>
    </row>
    <row r="283" spans="2:15" ht="20.100000000000001" customHeight="1" x14ac:dyDescent="0.3">
      <c r="B283" s="59"/>
      <c r="C283" s="59"/>
      <c r="D283" s="60" t="s">
        <v>88</v>
      </c>
      <c r="H283" s="57">
        <v>0.35</v>
      </c>
      <c r="I283" s="52" t="s">
        <v>89</v>
      </c>
      <c r="J283" s="52" t="s">
        <v>8</v>
      </c>
      <c r="K283" s="52" t="s">
        <v>27</v>
      </c>
      <c r="L283" s="53">
        <f>'UPah &amp; Bahan oke'!H31</f>
        <v>235000</v>
      </c>
      <c r="M283" s="52" t="s">
        <v>10</v>
      </c>
      <c r="N283" s="52" t="s">
        <v>27</v>
      </c>
      <c r="O283" s="53">
        <f t="shared" si="0"/>
        <v>82250</v>
      </c>
    </row>
    <row r="284" spans="2:15" ht="20.100000000000001" customHeight="1" x14ac:dyDescent="0.3">
      <c r="B284" s="59"/>
      <c r="C284" s="59"/>
      <c r="D284" s="60" t="s">
        <v>324</v>
      </c>
      <c r="H284" s="57">
        <v>2</v>
      </c>
      <c r="I284" s="52" t="s">
        <v>90</v>
      </c>
      <c r="J284" s="52" t="s">
        <v>8</v>
      </c>
      <c r="K284" s="52" t="s">
        <v>27</v>
      </c>
      <c r="L284" s="53">
        <f>'UPah &amp; Bahan oke'!H46</f>
        <v>25000</v>
      </c>
      <c r="M284" s="52" t="s">
        <v>10</v>
      </c>
      <c r="N284" s="52" t="s">
        <v>27</v>
      </c>
      <c r="O284" s="77">
        <f t="shared" si="0"/>
        <v>50000</v>
      </c>
    </row>
    <row r="285" spans="2:15" ht="20.100000000000001" customHeight="1" x14ac:dyDescent="0.3">
      <c r="K285" s="53" t="s">
        <v>13</v>
      </c>
      <c r="M285" s="52" t="s">
        <v>10</v>
      </c>
      <c r="N285" s="52" t="s">
        <v>27</v>
      </c>
      <c r="O285" s="53">
        <f>SUM(O279:O284)</f>
        <v>450150</v>
      </c>
    </row>
    <row r="286" spans="2:15" ht="20.100000000000001" customHeight="1" x14ac:dyDescent="0.3">
      <c r="B286" s="58"/>
      <c r="C286" s="55" t="s">
        <v>91</v>
      </c>
      <c r="D286" s="56" t="s">
        <v>15</v>
      </c>
      <c r="E286" s="56"/>
      <c r="M286" s="52"/>
    </row>
    <row r="287" spans="2:15" ht="20.100000000000001" customHeight="1" x14ac:dyDescent="0.3">
      <c r="B287" s="59"/>
      <c r="C287" s="59"/>
      <c r="D287" s="52" t="s">
        <v>17</v>
      </c>
      <c r="H287" s="57">
        <v>0.66</v>
      </c>
      <c r="I287" s="52" t="s">
        <v>16</v>
      </c>
      <c r="J287" s="52" t="s">
        <v>8</v>
      </c>
      <c r="K287" s="52" t="s">
        <v>27</v>
      </c>
      <c r="L287" s="53">
        <f>'UPah &amp; Bahan oke'!H9</f>
        <v>110000</v>
      </c>
      <c r="M287" s="52" t="s">
        <v>10</v>
      </c>
      <c r="N287" s="52" t="s">
        <v>27</v>
      </c>
      <c r="O287" s="53">
        <f>+L287*H287</f>
        <v>72600</v>
      </c>
    </row>
    <row r="288" spans="2:15" ht="20.100000000000001" customHeight="1" x14ac:dyDescent="0.3">
      <c r="B288" s="59"/>
      <c r="C288" s="59"/>
      <c r="D288" s="52" t="s">
        <v>103</v>
      </c>
      <c r="H288" s="57">
        <v>0.33</v>
      </c>
      <c r="I288" s="52" t="s">
        <v>16</v>
      </c>
      <c r="J288" s="52" t="s">
        <v>8</v>
      </c>
      <c r="K288" s="52" t="s">
        <v>27</v>
      </c>
      <c r="L288" s="53">
        <f>'UPah &amp; Bahan oke'!H10</f>
        <v>153000</v>
      </c>
      <c r="M288" s="52" t="s">
        <v>10</v>
      </c>
      <c r="N288" s="52" t="s">
        <v>27</v>
      </c>
      <c r="O288" s="53">
        <f>+L288*H288</f>
        <v>50490</v>
      </c>
    </row>
    <row r="289" spans="2:18" ht="20.100000000000001" customHeight="1" x14ac:dyDescent="0.3">
      <c r="B289" s="59"/>
      <c r="C289" s="59"/>
      <c r="D289" s="52" t="s">
        <v>18</v>
      </c>
      <c r="H289" s="57">
        <v>3.3000000000000002E-2</v>
      </c>
      <c r="I289" s="52" t="s">
        <v>16</v>
      </c>
      <c r="J289" s="52" t="s">
        <v>8</v>
      </c>
      <c r="K289" s="52" t="s">
        <v>27</v>
      </c>
      <c r="L289" s="53">
        <f>'UPah &amp; Bahan oke'!H11</f>
        <v>170000</v>
      </c>
      <c r="M289" s="52" t="s">
        <v>10</v>
      </c>
      <c r="N289" s="52" t="s">
        <v>27</v>
      </c>
      <c r="O289" s="53">
        <f>+L289*H289</f>
        <v>5610</v>
      </c>
    </row>
    <row r="290" spans="2:18" ht="20.100000000000001" customHeight="1" x14ac:dyDescent="0.3">
      <c r="B290" s="59"/>
      <c r="C290" s="59"/>
      <c r="D290" s="52" t="s">
        <v>19</v>
      </c>
      <c r="H290" s="57">
        <v>3.3000000000000002E-2</v>
      </c>
      <c r="I290" s="52" t="s">
        <v>16</v>
      </c>
      <c r="J290" s="52" t="s">
        <v>8</v>
      </c>
      <c r="K290" s="52" t="s">
        <v>27</v>
      </c>
      <c r="L290" s="53">
        <f>'UPah &amp; Bahan oke'!H12</f>
        <v>150000</v>
      </c>
      <c r="M290" s="52" t="s">
        <v>10</v>
      </c>
      <c r="N290" s="52" t="s">
        <v>27</v>
      </c>
      <c r="O290" s="77">
        <f>+L290*H290</f>
        <v>4950</v>
      </c>
    </row>
    <row r="291" spans="2:18" ht="20.100000000000001" customHeight="1" x14ac:dyDescent="0.3">
      <c r="K291" s="53" t="s">
        <v>20</v>
      </c>
      <c r="M291" s="52" t="s">
        <v>10</v>
      </c>
      <c r="N291" s="52" t="s">
        <v>27</v>
      </c>
      <c r="O291" s="63">
        <f>SUM(O287:O290)</f>
        <v>133650</v>
      </c>
    </row>
    <row r="292" spans="2:18" ht="20.100000000000001" customHeight="1" x14ac:dyDescent="0.3">
      <c r="K292" s="53" t="s">
        <v>21</v>
      </c>
      <c r="M292" s="52" t="s">
        <v>10</v>
      </c>
      <c r="N292" s="52" t="s">
        <v>27</v>
      </c>
      <c r="O292" s="63">
        <f>+O291+O285</f>
        <v>583800</v>
      </c>
    </row>
    <row r="293" spans="2:18" ht="20.100000000000001" customHeight="1" x14ac:dyDescent="0.3">
      <c r="D293" s="52" t="s">
        <v>138</v>
      </c>
      <c r="M293" s="52" t="s">
        <v>10</v>
      </c>
      <c r="N293" s="52" t="s">
        <v>27</v>
      </c>
      <c r="O293" s="131">
        <f>O292/3</f>
        <v>194600</v>
      </c>
    </row>
    <row r="294" spans="2:18" ht="20.100000000000001" customHeight="1" x14ac:dyDescent="0.3">
      <c r="M294" s="52"/>
      <c r="O294" s="63"/>
    </row>
    <row r="295" spans="2:18" ht="20.100000000000001" customHeight="1" x14ac:dyDescent="0.3">
      <c r="B295" s="56" t="s">
        <v>69</v>
      </c>
      <c r="C295" s="56" t="s">
        <v>389</v>
      </c>
      <c r="D295" s="56" t="s">
        <v>465</v>
      </c>
      <c r="E295" s="56" t="s">
        <v>466</v>
      </c>
      <c r="F295" s="56"/>
      <c r="G295" s="56"/>
      <c r="H295" s="56"/>
      <c r="K295" s="78"/>
      <c r="M295" s="52"/>
      <c r="N295" s="80"/>
      <c r="O295" s="63"/>
    </row>
    <row r="296" spans="2:18" ht="20.100000000000001" customHeight="1" x14ac:dyDescent="0.3">
      <c r="B296" s="56"/>
      <c r="C296" s="56" t="s">
        <v>209</v>
      </c>
      <c r="D296" s="56" t="s">
        <v>5</v>
      </c>
      <c r="E296" s="56"/>
      <c r="K296" s="78"/>
      <c r="M296" s="52"/>
      <c r="N296" s="80"/>
      <c r="O296" s="63"/>
    </row>
    <row r="297" spans="2:18" ht="20.100000000000001" customHeight="1" x14ac:dyDescent="0.3">
      <c r="B297" s="59"/>
      <c r="C297" s="59"/>
      <c r="D297" s="60" t="s">
        <v>82</v>
      </c>
      <c r="H297" s="57">
        <v>0.04</v>
      </c>
      <c r="I297" s="52" t="s">
        <v>37</v>
      </c>
      <c r="J297" s="52" t="s">
        <v>8</v>
      </c>
      <c r="K297" s="52" t="s">
        <v>27</v>
      </c>
      <c r="L297" s="53">
        <f>'UPah &amp; Bahan oke'!H42</f>
        <v>5200000</v>
      </c>
      <c r="M297" s="52" t="s">
        <v>10</v>
      </c>
      <c r="N297" s="52" t="s">
        <v>27</v>
      </c>
      <c r="O297" s="80">
        <f t="shared" ref="O297:O302" si="1">+L297*H297</f>
        <v>208000</v>
      </c>
      <c r="Q297" s="296">
        <v>214545.45454545453</v>
      </c>
      <c r="R297" s="57">
        <v>0.04</v>
      </c>
    </row>
    <row r="298" spans="2:18" ht="20.100000000000001" customHeight="1" x14ac:dyDescent="0.3">
      <c r="B298" s="59"/>
      <c r="C298" s="59"/>
      <c r="D298" s="60" t="s">
        <v>11</v>
      </c>
      <c r="H298" s="57">
        <v>0.4</v>
      </c>
      <c r="I298" s="52" t="s">
        <v>12</v>
      </c>
      <c r="J298" s="52" t="s">
        <v>8</v>
      </c>
      <c r="K298" s="52" t="s">
        <v>27</v>
      </c>
      <c r="L298" s="53">
        <f>'UPah &amp; Bahan oke'!H37</f>
        <v>20000</v>
      </c>
      <c r="M298" s="52" t="s">
        <v>10</v>
      </c>
      <c r="N298" s="52" t="s">
        <v>27</v>
      </c>
      <c r="O298" s="80">
        <f t="shared" si="1"/>
        <v>8000</v>
      </c>
      <c r="Q298" s="296">
        <v>8000</v>
      </c>
      <c r="R298" s="57">
        <v>0.4</v>
      </c>
    </row>
    <row r="299" spans="2:18" ht="20.100000000000001" customHeight="1" x14ac:dyDescent="0.3">
      <c r="B299" s="59"/>
      <c r="C299" s="59"/>
      <c r="D299" s="52" t="s">
        <v>83</v>
      </c>
      <c r="H299" s="57">
        <v>0.2</v>
      </c>
      <c r="I299" s="52" t="s">
        <v>12</v>
      </c>
      <c r="J299" s="52" t="s">
        <v>8</v>
      </c>
      <c r="K299" s="52" t="s">
        <v>27</v>
      </c>
      <c r="L299" s="53">
        <f>'UPah &amp; Bahan oke'!H38</f>
        <v>22000</v>
      </c>
      <c r="M299" s="52" t="s">
        <v>10</v>
      </c>
      <c r="N299" s="52" t="s">
        <v>27</v>
      </c>
      <c r="O299" s="86">
        <f t="shared" si="1"/>
        <v>4400</v>
      </c>
      <c r="Q299" s="296">
        <v>5272.727272727273</v>
      </c>
      <c r="R299" s="57">
        <v>0.2</v>
      </c>
    </row>
    <row r="300" spans="2:18" ht="20.100000000000001" customHeight="1" x14ac:dyDescent="0.3">
      <c r="B300" s="59"/>
      <c r="C300" s="59"/>
      <c r="D300" s="60" t="s">
        <v>164</v>
      </c>
      <c r="H300" s="57">
        <v>1.7999999999999999E-2</v>
      </c>
      <c r="I300" s="52" t="s">
        <v>37</v>
      </c>
      <c r="J300" s="52" t="s">
        <v>8</v>
      </c>
      <c r="K300" s="52" t="s">
        <v>27</v>
      </c>
      <c r="L300" s="53">
        <f>'UPah &amp; Bahan oke'!H41</f>
        <v>6500000</v>
      </c>
      <c r="M300" s="52" t="s">
        <v>10</v>
      </c>
      <c r="N300" s="52" t="s">
        <v>27</v>
      </c>
      <c r="O300" s="80">
        <f t="shared" si="1"/>
        <v>116999.99999999999</v>
      </c>
      <c r="Q300" s="296">
        <v>109065</v>
      </c>
      <c r="R300" s="57">
        <v>1.4999999999999999E-2</v>
      </c>
    </row>
    <row r="301" spans="2:18" ht="20.100000000000001" customHeight="1" x14ac:dyDescent="0.3">
      <c r="B301" s="59"/>
      <c r="C301" s="59"/>
      <c r="D301" s="60" t="s">
        <v>88</v>
      </c>
      <c r="H301" s="57">
        <v>0.35</v>
      </c>
      <c r="I301" s="52" t="s">
        <v>89</v>
      </c>
      <c r="J301" s="52" t="s">
        <v>8</v>
      </c>
      <c r="K301" s="52" t="s">
        <v>27</v>
      </c>
      <c r="L301" s="53">
        <f>'UPah &amp; Bahan oke'!H31</f>
        <v>235000</v>
      </c>
      <c r="M301" s="52" t="s">
        <v>10</v>
      </c>
      <c r="N301" s="52" t="s">
        <v>27</v>
      </c>
      <c r="O301" s="80">
        <f t="shared" si="1"/>
        <v>82250</v>
      </c>
      <c r="Q301" s="296">
        <v>51704.545454545441</v>
      </c>
      <c r="R301" s="57">
        <v>0.35</v>
      </c>
    </row>
    <row r="302" spans="2:18" ht="20.100000000000001" customHeight="1" x14ac:dyDescent="0.3">
      <c r="B302" s="59"/>
      <c r="C302" s="59"/>
      <c r="D302" s="60" t="s">
        <v>324</v>
      </c>
      <c r="H302" s="57">
        <v>2</v>
      </c>
      <c r="I302" s="52" t="s">
        <v>90</v>
      </c>
      <c r="J302" s="52" t="s">
        <v>8</v>
      </c>
      <c r="K302" s="52" t="s">
        <v>27</v>
      </c>
      <c r="L302" s="53">
        <f>'UPah &amp; Bahan oke'!H46</f>
        <v>25000</v>
      </c>
      <c r="M302" s="52" t="s">
        <v>10</v>
      </c>
      <c r="N302" s="52" t="s">
        <v>27</v>
      </c>
      <c r="O302" s="82">
        <f t="shared" si="1"/>
        <v>50000</v>
      </c>
      <c r="Q302" s="296">
        <v>36363.636363636368</v>
      </c>
      <c r="R302" s="57">
        <v>2</v>
      </c>
    </row>
    <row r="303" spans="2:18" ht="20.100000000000001" customHeight="1" x14ac:dyDescent="0.3">
      <c r="K303" s="78" t="s">
        <v>13</v>
      </c>
      <c r="M303" s="52" t="s">
        <v>10</v>
      </c>
      <c r="N303" s="52" t="s">
        <v>27</v>
      </c>
      <c r="O303" s="80">
        <f>SUM(O297:O302)</f>
        <v>469650</v>
      </c>
      <c r="Q303" s="296">
        <v>424951.36363636353</v>
      </c>
      <c r="R303" s="57"/>
    </row>
    <row r="304" spans="2:18" ht="20.100000000000001" customHeight="1" x14ac:dyDescent="0.3">
      <c r="B304" s="58"/>
      <c r="C304" s="55" t="s">
        <v>210</v>
      </c>
      <c r="D304" s="56" t="s">
        <v>15</v>
      </c>
      <c r="E304" s="56"/>
      <c r="M304" s="52"/>
      <c r="O304" s="80"/>
      <c r="Q304" s="296"/>
      <c r="R304" s="57"/>
    </row>
    <row r="305" spans="2:18" ht="20.100000000000001" customHeight="1" x14ac:dyDescent="0.3">
      <c r="B305" s="59"/>
      <c r="C305" s="59"/>
      <c r="D305" s="52" t="s">
        <v>17</v>
      </c>
      <c r="H305" s="57">
        <v>0.66</v>
      </c>
      <c r="I305" s="52" t="s">
        <v>16</v>
      </c>
      <c r="J305" s="52" t="s">
        <v>8</v>
      </c>
      <c r="K305" s="52" t="s">
        <v>27</v>
      </c>
      <c r="L305" s="53">
        <f>'UPah &amp; Bahan oke'!H9</f>
        <v>110000</v>
      </c>
      <c r="M305" s="52" t="s">
        <v>10</v>
      </c>
      <c r="N305" s="52" t="s">
        <v>27</v>
      </c>
      <c r="O305" s="80">
        <f>+L305*H305</f>
        <v>72600</v>
      </c>
      <c r="Q305" s="296">
        <v>66000</v>
      </c>
      <c r="R305" s="57">
        <v>0.66</v>
      </c>
    </row>
    <row r="306" spans="2:18" ht="20.100000000000001" customHeight="1" x14ac:dyDescent="0.3">
      <c r="B306" s="59"/>
      <c r="C306" s="59"/>
      <c r="D306" s="52" t="s">
        <v>103</v>
      </c>
      <c r="H306" s="57">
        <v>0.33</v>
      </c>
      <c r="I306" s="52" t="s">
        <v>16</v>
      </c>
      <c r="J306" s="52" t="s">
        <v>8</v>
      </c>
      <c r="K306" s="52" t="s">
        <v>27</v>
      </c>
      <c r="L306" s="53">
        <f>'UPah &amp; Bahan oke'!H10</f>
        <v>153000</v>
      </c>
      <c r="M306" s="52" t="s">
        <v>10</v>
      </c>
      <c r="N306" s="52" t="s">
        <v>27</v>
      </c>
      <c r="O306" s="80">
        <f>+L306*H306</f>
        <v>50490</v>
      </c>
      <c r="Q306" s="296">
        <v>40500</v>
      </c>
      <c r="R306" s="57">
        <v>0.33</v>
      </c>
    </row>
    <row r="307" spans="2:18" ht="20.100000000000001" customHeight="1" x14ac:dyDescent="0.3">
      <c r="B307" s="59"/>
      <c r="C307" s="59"/>
      <c r="D307" s="52" t="s">
        <v>18</v>
      </c>
      <c r="H307" s="57">
        <v>3.3000000000000002E-2</v>
      </c>
      <c r="I307" s="52" t="s">
        <v>16</v>
      </c>
      <c r="J307" s="52" t="s">
        <v>8</v>
      </c>
      <c r="K307" s="52" t="s">
        <v>27</v>
      </c>
      <c r="L307" s="53">
        <f>'UPah &amp; Bahan oke'!H11</f>
        <v>170000</v>
      </c>
      <c r="M307" s="52" t="s">
        <v>10</v>
      </c>
      <c r="N307" s="52" t="s">
        <v>27</v>
      </c>
      <c r="O307" s="80">
        <f>+L307*H307</f>
        <v>5610</v>
      </c>
      <c r="Q307" s="296">
        <v>4500</v>
      </c>
      <c r="R307" s="57">
        <v>3.3000000000000002E-2</v>
      </c>
    </row>
    <row r="308" spans="2:18" ht="20.100000000000001" customHeight="1" x14ac:dyDescent="0.3">
      <c r="B308" s="59"/>
      <c r="C308" s="59"/>
      <c r="D308" s="52" t="s">
        <v>19</v>
      </c>
      <c r="H308" s="57">
        <v>3.3000000000000002E-2</v>
      </c>
      <c r="I308" s="52" t="s">
        <v>16</v>
      </c>
      <c r="J308" s="52" t="s">
        <v>8</v>
      </c>
      <c r="K308" s="52" t="s">
        <v>27</v>
      </c>
      <c r="L308" s="53">
        <f>'UPah &amp; Bahan oke'!H12</f>
        <v>150000</v>
      </c>
      <c r="M308" s="52" t="s">
        <v>10</v>
      </c>
      <c r="N308" s="52" t="s">
        <v>27</v>
      </c>
      <c r="O308" s="82">
        <f>+L308*H308</f>
        <v>4950</v>
      </c>
      <c r="Q308" s="296">
        <v>4050</v>
      </c>
      <c r="R308" s="57">
        <v>3.3000000000000002E-2</v>
      </c>
    </row>
    <row r="309" spans="2:18" ht="20.100000000000001" customHeight="1" x14ac:dyDescent="0.3">
      <c r="K309" s="78" t="s">
        <v>20</v>
      </c>
      <c r="M309" s="52" t="s">
        <v>10</v>
      </c>
      <c r="N309" s="52" t="s">
        <v>27</v>
      </c>
      <c r="O309" s="83">
        <f>SUM(O305:O308)</f>
        <v>133650</v>
      </c>
      <c r="Q309" s="296">
        <v>115050</v>
      </c>
    </row>
    <row r="310" spans="2:18" ht="20.100000000000001" customHeight="1" x14ac:dyDescent="0.3">
      <c r="K310" s="78" t="s">
        <v>21</v>
      </c>
      <c r="M310" s="52" t="s">
        <v>10</v>
      </c>
      <c r="N310" s="52" t="s">
        <v>27</v>
      </c>
      <c r="O310" s="83">
        <f>+O309+O303</f>
        <v>603300</v>
      </c>
      <c r="Q310" s="296">
        <v>540001.36363636353</v>
      </c>
    </row>
    <row r="311" spans="2:18" ht="20.100000000000001" customHeight="1" x14ac:dyDescent="0.3">
      <c r="D311" s="52" t="s">
        <v>138</v>
      </c>
      <c r="M311" s="52" t="s">
        <v>10</v>
      </c>
      <c r="N311" s="52" t="s">
        <v>27</v>
      </c>
      <c r="O311" s="131">
        <f>O310/3</f>
        <v>201100</v>
      </c>
      <c r="Q311" s="296">
        <v>180000.4545454545</v>
      </c>
    </row>
    <row r="312" spans="2:18" ht="20.100000000000001" customHeight="1" x14ac:dyDescent="0.3">
      <c r="M312" s="52"/>
      <c r="O312" s="63"/>
    </row>
    <row r="313" spans="2:18" ht="20.100000000000001" customHeight="1" x14ac:dyDescent="0.3">
      <c r="B313" s="56" t="s">
        <v>69</v>
      </c>
      <c r="C313" s="56" t="s">
        <v>390</v>
      </c>
      <c r="D313" s="56" t="s">
        <v>465</v>
      </c>
      <c r="E313" s="56" t="s">
        <v>475</v>
      </c>
      <c r="F313" s="56"/>
      <c r="G313" s="56"/>
      <c r="H313" s="56"/>
      <c r="K313" s="78"/>
      <c r="M313" s="52"/>
      <c r="N313" s="80"/>
      <c r="O313" s="63"/>
    </row>
    <row r="314" spans="2:18" ht="20.100000000000001" customHeight="1" x14ac:dyDescent="0.3">
      <c r="B314" s="56"/>
      <c r="C314" s="56" t="s">
        <v>211</v>
      </c>
      <c r="D314" s="56" t="s">
        <v>5</v>
      </c>
      <c r="E314" s="56"/>
      <c r="K314" s="78"/>
      <c r="M314" s="52"/>
      <c r="N314" s="80"/>
      <c r="O314" s="63"/>
    </row>
    <row r="315" spans="2:18" ht="20.100000000000001" customHeight="1" x14ac:dyDescent="0.3">
      <c r="B315" s="59"/>
      <c r="C315" s="59"/>
      <c r="D315" s="60" t="s">
        <v>82</v>
      </c>
      <c r="H315" s="57">
        <v>0.04</v>
      </c>
      <c r="I315" s="52" t="s">
        <v>37</v>
      </c>
      <c r="J315" s="52" t="s">
        <v>8</v>
      </c>
      <c r="K315" s="52" t="s">
        <v>27</v>
      </c>
      <c r="L315" s="53">
        <f>'UPah &amp; Bahan oke'!H42</f>
        <v>5200000</v>
      </c>
      <c r="M315" s="52" t="s">
        <v>10</v>
      </c>
      <c r="N315" s="52" t="s">
        <v>27</v>
      </c>
      <c r="O315" s="80">
        <f t="shared" ref="O315:O320" si="2">+L315*H315</f>
        <v>208000</v>
      </c>
    </row>
    <row r="316" spans="2:18" ht="20.100000000000001" customHeight="1" x14ac:dyDescent="0.3">
      <c r="B316" s="59"/>
      <c r="C316" s="59"/>
      <c r="D316" s="60" t="s">
        <v>11</v>
      </c>
      <c r="H316" s="57">
        <v>0.4</v>
      </c>
      <c r="I316" s="52" t="s">
        <v>12</v>
      </c>
      <c r="J316" s="52" t="s">
        <v>8</v>
      </c>
      <c r="K316" s="52" t="s">
        <v>27</v>
      </c>
      <c r="L316" s="53">
        <f>'UPah &amp; Bahan oke'!H37</f>
        <v>20000</v>
      </c>
      <c r="M316" s="52" t="s">
        <v>10</v>
      </c>
      <c r="N316" s="52" t="s">
        <v>27</v>
      </c>
      <c r="O316" s="80">
        <f t="shared" si="2"/>
        <v>8000</v>
      </c>
    </row>
    <row r="317" spans="2:18" ht="20.100000000000001" customHeight="1" x14ac:dyDescent="0.3">
      <c r="B317" s="59"/>
      <c r="C317" s="59"/>
      <c r="D317" s="52" t="s">
        <v>83</v>
      </c>
      <c r="H317" s="57">
        <v>0.2</v>
      </c>
      <c r="I317" s="52" t="s">
        <v>12</v>
      </c>
      <c r="J317" s="52" t="s">
        <v>8</v>
      </c>
      <c r="K317" s="52" t="s">
        <v>27</v>
      </c>
      <c r="L317" s="53">
        <f>'UPah &amp; Bahan oke'!H38</f>
        <v>22000</v>
      </c>
      <c r="M317" s="52" t="s">
        <v>10</v>
      </c>
      <c r="N317" s="52" t="s">
        <v>27</v>
      </c>
      <c r="O317" s="86">
        <f t="shared" si="2"/>
        <v>4400</v>
      </c>
    </row>
    <row r="318" spans="2:18" ht="20.100000000000001" customHeight="1" x14ac:dyDescent="0.3">
      <c r="B318" s="59"/>
      <c r="C318" s="59"/>
      <c r="D318" s="60" t="s">
        <v>164</v>
      </c>
      <c r="H318" s="57">
        <v>1.4999999999999999E-2</v>
      </c>
      <c r="I318" s="52" t="s">
        <v>37</v>
      </c>
      <c r="J318" s="52" t="s">
        <v>8</v>
      </c>
      <c r="K318" s="52" t="s">
        <v>27</v>
      </c>
      <c r="L318" s="53">
        <f>'UPah &amp; Bahan oke'!H41</f>
        <v>6500000</v>
      </c>
      <c r="M318" s="52" t="s">
        <v>10</v>
      </c>
      <c r="N318" s="52" t="s">
        <v>27</v>
      </c>
      <c r="O318" s="80">
        <f t="shared" si="2"/>
        <v>97500</v>
      </c>
    </row>
    <row r="319" spans="2:18" ht="20.100000000000001" customHeight="1" x14ac:dyDescent="0.3">
      <c r="B319" s="59"/>
      <c r="C319" s="59"/>
      <c r="D319" s="60" t="s">
        <v>88</v>
      </c>
      <c r="H319" s="57">
        <v>0.35</v>
      </c>
      <c r="I319" s="52" t="s">
        <v>89</v>
      </c>
      <c r="J319" s="52" t="s">
        <v>8</v>
      </c>
      <c r="K319" s="52" t="s">
        <v>27</v>
      </c>
      <c r="L319" s="53">
        <f>'UPah &amp; Bahan oke'!H31</f>
        <v>235000</v>
      </c>
      <c r="M319" s="52" t="s">
        <v>10</v>
      </c>
      <c r="N319" s="52" t="s">
        <v>27</v>
      </c>
      <c r="O319" s="80">
        <f t="shared" si="2"/>
        <v>82250</v>
      </c>
    </row>
    <row r="320" spans="2:18" ht="20.100000000000001" customHeight="1" x14ac:dyDescent="0.3">
      <c r="B320" s="59"/>
      <c r="C320" s="59"/>
      <c r="D320" s="60" t="s">
        <v>324</v>
      </c>
      <c r="H320" s="57">
        <v>6</v>
      </c>
      <c r="I320" s="52" t="s">
        <v>90</v>
      </c>
      <c r="J320" s="52" t="s">
        <v>8</v>
      </c>
      <c r="K320" s="52" t="s">
        <v>27</v>
      </c>
      <c r="L320" s="53">
        <f>'UPah &amp; Bahan oke'!H46</f>
        <v>25000</v>
      </c>
      <c r="M320" s="52" t="s">
        <v>10</v>
      </c>
      <c r="N320" s="52" t="s">
        <v>27</v>
      </c>
      <c r="O320" s="82">
        <f t="shared" si="2"/>
        <v>150000</v>
      </c>
    </row>
    <row r="321" spans="2:15" ht="20.100000000000001" customHeight="1" x14ac:dyDescent="0.3">
      <c r="K321" s="78" t="s">
        <v>13</v>
      </c>
      <c r="M321" s="52" t="s">
        <v>10</v>
      </c>
      <c r="N321" s="52" t="s">
        <v>27</v>
      </c>
      <c r="O321" s="80">
        <f>SUM(O315:O320)</f>
        <v>550150</v>
      </c>
    </row>
    <row r="322" spans="2:15" ht="20.100000000000001" customHeight="1" x14ac:dyDescent="0.3">
      <c r="B322" s="58"/>
      <c r="C322" s="55" t="s">
        <v>212</v>
      </c>
      <c r="D322" s="56" t="s">
        <v>15</v>
      </c>
      <c r="E322" s="56"/>
      <c r="M322" s="52"/>
      <c r="O322" s="80"/>
    </row>
    <row r="323" spans="2:15" ht="20.100000000000001" customHeight="1" x14ac:dyDescent="0.3">
      <c r="B323" s="59"/>
      <c r="C323" s="59"/>
      <c r="D323" s="52" t="s">
        <v>17</v>
      </c>
      <c r="H323" s="57">
        <v>0.66</v>
      </c>
      <c r="I323" s="52" t="s">
        <v>16</v>
      </c>
      <c r="J323" s="52" t="s">
        <v>8</v>
      </c>
      <c r="K323" s="52" t="s">
        <v>27</v>
      </c>
      <c r="L323" s="53">
        <f>'UPah &amp; Bahan oke'!H9</f>
        <v>110000</v>
      </c>
      <c r="M323" s="52" t="s">
        <v>10</v>
      </c>
      <c r="N323" s="52" t="s">
        <v>27</v>
      </c>
      <c r="O323" s="80">
        <f>+L323*H323</f>
        <v>72600</v>
      </c>
    </row>
    <row r="324" spans="2:15" ht="20.100000000000001" customHeight="1" x14ac:dyDescent="0.3">
      <c r="B324" s="59"/>
      <c r="C324" s="59"/>
      <c r="D324" s="52" t="s">
        <v>103</v>
      </c>
      <c r="H324" s="57">
        <v>0.33</v>
      </c>
      <c r="I324" s="52" t="s">
        <v>16</v>
      </c>
      <c r="J324" s="52" t="s">
        <v>8</v>
      </c>
      <c r="K324" s="52" t="s">
        <v>27</v>
      </c>
      <c r="L324" s="53">
        <f>'UPah &amp; Bahan oke'!H10</f>
        <v>153000</v>
      </c>
      <c r="M324" s="52" t="s">
        <v>10</v>
      </c>
      <c r="N324" s="52" t="s">
        <v>27</v>
      </c>
      <c r="O324" s="80">
        <f>+L324*H324</f>
        <v>50490</v>
      </c>
    </row>
    <row r="325" spans="2:15" ht="20.100000000000001" customHeight="1" x14ac:dyDescent="0.3">
      <c r="B325" s="59"/>
      <c r="C325" s="59"/>
      <c r="D325" s="52" t="s">
        <v>18</v>
      </c>
      <c r="H325" s="57">
        <v>3.3000000000000002E-2</v>
      </c>
      <c r="I325" s="52" t="s">
        <v>16</v>
      </c>
      <c r="J325" s="52" t="s">
        <v>8</v>
      </c>
      <c r="K325" s="52" t="s">
        <v>27</v>
      </c>
      <c r="L325" s="53">
        <f>'UPah &amp; Bahan oke'!H11</f>
        <v>170000</v>
      </c>
      <c r="M325" s="52" t="s">
        <v>10</v>
      </c>
      <c r="N325" s="52" t="s">
        <v>27</v>
      </c>
      <c r="O325" s="80">
        <f>+L325*H325</f>
        <v>5610</v>
      </c>
    </row>
    <row r="326" spans="2:15" ht="20.100000000000001" customHeight="1" x14ac:dyDescent="0.3">
      <c r="B326" s="59"/>
      <c r="C326" s="59"/>
      <c r="D326" s="52" t="s">
        <v>19</v>
      </c>
      <c r="H326" s="57">
        <v>3.3000000000000002E-2</v>
      </c>
      <c r="I326" s="52" t="s">
        <v>16</v>
      </c>
      <c r="J326" s="52" t="s">
        <v>8</v>
      </c>
      <c r="K326" s="52" t="s">
        <v>27</v>
      </c>
      <c r="L326" s="53">
        <f>'UPah &amp; Bahan oke'!H12</f>
        <v>150000</v>
      </c>
      <c r="M326" s="52" t="s">
        <v>10</v>
      </c>
      <c r="N326" s="52" t="s">
        <v>27</v>
      </c>
      <c r="O326" s="82">
        <f>+L326*H326</f>
        <v>4950</v>
      </c>
    </row>
    <row r="327" spans="2:15" ht="20.100000000000001" customHeight="1" x14ac:dyDescent="0.3">
      <c r="K327" s="78" t="s">
        <v>20</v>
      </c>
      <c r="M327" s="52" t="s">
        <v>10</v>
      </c>
      <c r="N327" s="52" t="s">
        <v>27</v>
      </c>
      <c r="O327" s="83">
        <f>SUM(O323:O326)</f>
        <v>133650</v>
      </c>
    </row>
    <row r="328" spans="2:15" ht="20.100000000000001" customHeight="1" x14ac:dyDescent="0.3">
      <c r="K328" s="78" t="s">
        <v>21</v>
      </c>
      <c r="M328" s="52" t="s">
        <v>10</v>
      </c>
      <c r="N328" s="52" t="s">
        <v>27</v>
      </c>
      <c r="O328" s="83">
        <f>+O327+O321</f>
        <v>683800</v>
      </c>
    </row>
    <row r="329" spans="2:15" ht="20.100000000000001" customHeight="1" x14ac:dyDescent="0.3">
      <c r="D329" s="52" t="s">
        <v>138</v>
      </c>
      <c r="M329" s="52" t="s">
        <v>10</v>
      </c>
      <c r="N329" s="52" t="s">
        <v>27</v>
      </c>
      <c r="O329" s="131">
        <f>O328/3</f>
        <v>227933.33333333334</v>
      </c>
    </row>
    <row r="330" spans="2:15" ht="20.100000000000001" customHeight="1" x14ac:dyDescent="0.3">
      <c r="M330" s="52"/>
      <c r="O330" s="63"/>
    </row>
    <row r="331" spans="2:15" ht="20.100000000000001" customHeight="1" x14ac:dyDescent="0.3">
      <c r="C331" s="54" t="s">
        <v>92</v>
      </c>
    </row>
    <row r="332" spans="2:15" ht="20.100000000000001" customHeight="1" x14ac:dyDescent="0.3">
      <c r="C332" s="54"/>
    </row>
    <row r="333" spans="2:15" ht="20.100000000000001" customHeight="1" x14ac:dyDescent="0.3">
      <c r="B333" s="55" t="s">
        <v>524</v>
      </c>
      <c r="C333" s="87"/>
      <c r="D333" s="56" t="s">
        <v>342</v>
      </c>
      <c r="E333" s="56" t="s">
        <v>547</v>
      </c>
      <c r="G333" s="57"/>
      <c r="H333" s="65"/>
      <c r="I333" s="65"/>
      <c r="J333" s="65"/>
      <c r="K333" s="78"/>
      <c r="L333" s="88"/>
      <c r="M333" s="67"/>
      <c r="N333" s="80"/>
    </row>
    <row r="334" spans="2:15" ht="20.100000000000001" customHeight="1" x14ac:dyDescent="0.3">
      <c r="B334" s="55"/>
      <c r="C334" s="55" t="s">
        <v>514</v>
      </c>
      <c r="D334" s="56" t="s">
        <v>94</v>
      </c>
      <c r="G334" s="57"/>
      <c r="H334" s="65"/>
      <c r="I334" s="65"/>
      <c r="J334" s="65"/>
      <c r="K334" s="78"/>
      <c r="L334" s="88"/>
      <c r="M334" s="67"/>
      <c r="N334" s="80"/>
    </row>
    <row r="335" spans="2:15" ht="20.100000000000001" customHeight="1" x14ac:dyDescent="0.3">
      <c r="B335" s="59"/>
      <c r="C335" s="59" t="s">
        <v>29</v>
      </c>
      <c r="D335" s="52" t="s">
        <v>603</v>
      </c>
      <c r="H335" s="89">
        <v>1.02</v>
      </c>
      <c r="I335" s="65" t="s">
        <v>435</v>
      </c>
      <c r="J335" s="65" t="s">
        <v>8</v>
      </c>
      <c r="K335" s="65" t="s">
        <v>27</v>
      </c>
      <c r="L335" s="53">
        <f>'UPah &amp; Bahan oke'!H50</f>
        <v>58000</v>
      </c>
      <c r="M335" s="65" t="s">
        <v>10</v>
      </c>
      <c r="N335" s="67" t="s">
        <v>27</v>
      </c>
      <c r="O335" s="80">
        <f>L335*H335</f>
        <v>59160</v>
      </c>
    </row>
    <row r="336" spans="2:15" ht="20.100000000000001" customHeight="1" x14ac:dyDescent="0.3">
      <c r="B336" s="59"/>
      <c r="C336" s="59" t="s">
        <v>29</v>
      </c>
      <c r="D336" s="60" t="s">
        <v>478</v>
      </c>
      <c r="H336" s="57">
        <v>0.2</v>
      </c>
      <c r="I336" s="65" t="s">
        <v>12</v>
      </c>
      <c r="J336" s="65" t="s">
        <v>8</v>
      </c>
      <c r="K336" s="65" t="s">
        <v>27</v>
      </c>
      <c r="L336" s="53">
        <f>'UPah &amp; Bahan oke'!H60</f>
        <v>40000</v>
      </c>
      <c r="M336" s="65" t="s">
        <v>10</v>
      </c>
      <c r="N336" s="67" t="s">
        <v>27</v>
      </c>
      <c r="O336" s="80">
        <f>L336*H336</f>
        <v>8000</v>
      </c>
    </row>
    <row r="337" spans="2:15" ht="20.100000000000001" customHeight="1" x14ac:dyDescent="0.3">
      <c r="B337" s="67"/>
      <c r="C337" s="67"/>
      <c r="H337" s="57"/>
      <c r="I337" s="65"/>
      <c r="J337" s="65"/>
      <c r="K337" s="67" t="s">
        <v>13</v>
      </c>
      <c r="M337" s="65" t="s">
        <v>10</v>
      </c>
      <c r="N337" s="67" t="s">
        <v>27</v>
      </c>
      <c r="O337" s="90">
        <f>SUM(O335:O336)</f>
        <v>67160</v>
      </c>
    </row>
    <row r="338" spans="2:15" ht="20.100000000000001" customHeight="1" x14ac:dyDescent="0.3">
      <c r="B338" s="55"/>
      <c r="C338" s="55" t="s">
        <v>515</v>
      </c>
      <c r="D338" s="56" t="s">
        <v>95</v>
      </c>
      <c r="H338" s="57"/>
      <c r="I338" s="65"/>
      <c r="J338" s="65"/>
      <c r="K338" s="65"/>
      <c r="M338" s="65"/>
      <c r="N338" s="67"/>
      <c r="O338" s="80"/>
    </row>
    <row r="339" spans="2:15" ht="20.100000000000001" customHeight="1" x14ac:dyDescent="0.3">
      <c r="B339" s="59"/>
      <c r="C339" s="59"/>
      <c r="D339" s="52" t="s">
        <v>17</v>
      </c>
      <c r="H339" s="57">
        <v>0.12</v>
      </c>
      <c r="I339" s="65" t="s">
        <v>16</v>
      </c>
      <c r="J339" s="65" t="s">
        <v>8</v>
      </c>
      <c r="K339" s="65" t="s">
        <v>27</v>
      </c>
      <c r="L339" s="53">
        <f>VLOOKUP(D339,'UPah &amp; Bahan oke'!$D$9:$H$169,5,0)</f>
        <v>110000</v>
      </c>
      <c r="M339" s="65" t="s">
        <v>10</v>
      </c>
      <c r="N339" s="67" t="s">
        <v>27</v>
      </c>
      <c r="O339" s="80">
        <f>L339*H339</f>
        <v>13200</v>
      </c>
    </row>
    <row r="340" spans="2:15" ht="20.100000000000001" customHeight="1" x14ac:dyDescent="0.3">
      <c r="B340" s="59"/>
      <c r="C340" s="59"/>
      <c r="D340" s="52" t="s">
        <v>103</v>
      </c>
      <c r="H340" s="57">
        <v>0.06</v>
      </c>
      <c r="I340" s="65" t="s">
        <v>16</v>
      </c>
      <c r="J340" s="65" t="s">
        <v>8</v>
      </c>
      <c r="K340" s="65" t="s">
        <v>27</v>
      </c>
      <c r="L340" s="53">
        <f>VLOOKUP(D340,'UPah &amp; Bahan oke'!$D$9:$H$169,5,0)</f>
        <v>153000</v>
      </c>
      <c r="M340" s="65" t="s">
        <v>10</v>
      </c>
      <c r="N340" s="67" t="s">
        <v>27</v>
      </c>
      <c r="O340" s="80">
        <f>L340*H340</f>
        <v>9180</v>
      </c>
    </row>
    <row r="341" spans="2:15" ht="20.100000000000001" customHeight="1" x14ac:dyDescent="0.3">
      <c r="B341" s="59"/>
      <c r="C341" s="59"/>
      <c r="D341" s="52" t="s">
        <v>93</v>
      </c>
      <c r="H341" s="57">
        <v>6.0000000000000001E-3</v>
      </c>
      <c r="I341" s="65" t="s">
        <v>16</v>
      </c>
      <c r="J341" s="65" t="s">
        <v>8</v>
      </c>
      <c r="K341" s="65" t="s">
        <v>27</v>
      </c>
      <c r="L341" s="53">
        <f>VLOOKUP(D341,'UPah &amp; Bahan oke'!$D$9:$H$169,5,0)</f>
        <v>170000</v>
      </c>
      <c r="M341" s="65" t="s">
        <v>10</v>
      </c>
      <c r="N341" s="67" t="s">
        <v>27</v>
      </c>
      <c r="O341" s="80">
        <f>L341*H341</f>
        <v>1020</v>
      </c>
    </row>
    <row r="342" spans="2:15" ht="20.100000000000001" customHeight="1" x14ac:dyDescent="0.3">
      <c r="B342" s="59"/>
      <c r="C342" s="59"/>
      <c r="D342" s="52" t="s">
        <v>19</v>
      </c>
      <c r="H342" s="57">
        <v>6.0000000000000001E-3</v>
      </c>
      <c r="I342" s="65" t="s">
        <v>16</v>
      </c>
      <c r="J342" s="65" t="s">
        <v>8</v>
      </c>
      <c r="K342" s="65" t="s">
        <v>27</v>
      </c>
      <c r="L342" s="53">
        <f>VLOOKUP(D342,'UPah &amp; Bahan oke'!$D$9:$H$169,5,0)</f>
        <v>150000</v>
      </c>
      <c r="M342" s="65" t="s">
        <v>10</v>
      </c>
      <c r="N342" s="67" t="s">
        <v>27</v>
      </c>
      <c r="O342" s="80">
        <f>L342*H342</f>
        <v>900</v>
      </c>
    </row>
    <row r="343" spans="2:15" ht="20.100000000000001" customHeight="1" x14ac:dyDescent="0.3">
      <c r="B343" s="67"/>
      <c r="C343" s="67"/>
      <c r="H343" s="57"/>
      <c r="I343" s="65"/>
      <c r="J343" s="65"/>
      <c r="K343" s="67" t="s">
        <v>20</v>
      </c>
      <c r="M343" s="65" t="s">
        <v>10</v>
      </c>
      <c r="N343" s="67" t="s">
        <v>27</v>
      </c>
      <c r="O343" s="90">
        <f>SUM(O339:O342)</f>
        <v>24300</v>
      </c>
    </row>
    <row r="344" spans="2:15" ht="20.100000000000001" customHeight="1" x14ac:dyDescent="0.3">
      <c r="B344" s="55" t="s">
        <v>29</v>
      </c>
      <c r="C344" s="87" t="s">
        <v>29</v>
      </c>
      <c r="D344" s="56" t="s">
        <v>29</v>
      </c>
      <c r="H344" s="57"/>
      <c r="I344" s="65"/>
      <c r="J344" s="65"/>
      <c r="K344" s="67" t="s">
        <v>21</v>
      </c>
      <c r="M344" s="65" t="s">
        <v>10</v>
      </c>
      <c r="N344" s="67" t="s">
        <v>27</v>
      </c>
      <c r="O344" s="130">
        <f>O343+O337</f>
        <v>91460</v>
      </c>
    </row>
    <row r="345" spans="2:15" ht="20.100000000000001" customHeight="1" x14ac:dyDescent="0.3">
      <c r="C345" s="54"/>
    </row>
    <row r="346" spans="2:15" ht="20.100000000000001" customHeight="1" x14ac:dyDescent="0.3">
      <c r="B346" s="55" t="s">
        <v>529</v>
      </c>
      <c r="C346" s="87"/>
      <c r="D346" s="56" t="s">
        <v>342</v>
      </c>
      <c r="E346" s="56" t="s">
        <v>530</v>
      </c>
      <c r="G346" s="57"/>
      <c r="H346" s="65"/>
      <c r="I346" s="65"/>
      <c r="J346" s="65"/>
      <c r="K346" s="78"/>
      <c r="L346" s="88"/>
      <c r="M346" s="67"/>
      <c r="N346" s="80"/>
    </row>
    <row r="347" spans="2:15" ht="20.100000000000001" customHeight="1" x14ac:dyDescent="0.3">
      <c r="B347" s="55"/>
      <c r="C347" s="55" t="s">
        <v>531</v>
      </c>
      <c r="D347" s="56" t="s">
        <v>94</v>
      </c>
      <c r="G347" s="57"/>
      <c r="H347" s="65"/>
      <c r="I347" s="65"/>
      <c r="J347" s="65"/>
      <c r="K347" s="78"/>
      <c r="L347" s="88"/>
      <c r="M347" s="67"/>
      <c r="N347" s="80"/>
    </row>
    <row r="348" spans="2:15" ht="20.100000000000001" customHeight="1" x14ac:dyDescent="0.3">
      <c r="B348" s="59"/>
      <c r="C348" s="59" t="s">
        <v>29</v>
      </c>
      <c r="D348" s="52" t="s">
        <v>410</v>
      </c>
      <c r="H348" s="89">
        <v>10.224</v>
      </c>
      <c r="I348" s="65" t="s">
        <v>12</v>
      </c>
      <c r="J348" s="65" t="s">
        <v>8</v>
      </c>
      <c r="K348" s="65" t="s">
        <v>27</v>
      </c>
      <c r="L348" s="53">
        <f>'UPah &amp; Bahan oke'!H29</f>
        <v>1687.5</v>
      </c>
      <c r="M348" s="65" t="s">
        <v>10</v>
      </c>
      <c r="N348" s="67" t="s">
        <v>27</v>
      </c>
      <c r="O348" s="80">
        <f>L348*H348</f>
        <v>17253</v>
      </c>
    </row>
    <row r="349" spans="2:15" ht="20.100000000000001" customHeight="1" x14ac:dyDescent="0.3">
      <c r="B349" s="59"/>
      <c r="C349" s="59" t="s">
        <v>29</v>
      </c>
      <c r="D349" s="60" t="s">
        <v>49</v>
      </c>
      <c r="H349" s="57">
        <v>0.02</v>
      </c>
      <c r="I349" s="65" t="s">
        <v>7</v>
      </c>
      <c r="J349" s="65" t="s">
        <v>8</v>
      </c>
      <c r="K349" s="65" t="s">
        <v>27</v>
      </c>
      <c r="L349" s="53">
        <f>'UPah &amp; Bahan oke'!H18</f>
        <v>185000</v>
      </c>
      <c r="M349" s="65" t="s">
        <v>10</v>
      </c>
      <c r="N349" s="67" t="s">
        <v>27</v>
      </c>
      <c r="O349" s="80">
        <f>L349*H349</f>
        <v>3700</v>
      </c>
    </row>
    <row r="350" spans="2:15" ht="20.100000000000001" customHeight="1" x14ac:dyDescent="0.3">
      <c r="B350" s="67"/>
      <c r="C350" s="67"/>
      <c r="H350" s="57"/>
      <c r="I350" s="65"/>
      <c r="J350" s="65"/>
      <c r="K350" s="67" t="s">
        <v>13</v>
      </c>
      <c r="M350" s="65" t="s">
        <v>10</v>
      </c>
      <c r="N350" s="67" t="s">
        <v>27</v>
      </c>
      <c r="O350" s="90">
        <f>SUM(O348:O349)</f>
        <v>20953</v>
      </c>
    </row>
    <row r="351" spans="2:15" ht="20.100000000000001" customHeight="1" x14ac:dyDescent="0.3">
      <c r="B351" s="55"/>
      <c r="C351" s="55" t="s">
        <v>532</v>
      </c>
      <c r="D351" s="56" t="s">
        <v>95</v>
      </c>
      <c r="H351" s="57"/>
      <c r="I351" s="65"/>
      <c r="J351" s="65"/>
      <c r="K351" s="65"/>
      <c r="M351" s="65"/>
      <c r="N351" s="67"/>
      <c r="O351" s="80"/>
    </row>
    <row r="352" spans="2:15" ht="20.100000000000001" customHeight="1" x14ac:dyDescent="0.3">
      <c r="B352" s="59"/>
      <c r="C352" s="59"/>
      <c r="D352" s="52" t="s">
        <v>17</v>
      </c>
      <c r="H352" s="57">
        <v>0.3</v>
      </c>
      <c r="I352" s="65" t="s">
        <v>16</v>
      </c>
      <c r="J352" s="65" t="s">
        <v>8</v>
      </c>
      <c r="K352" s="65" t="s">
        <v>27</v>
      </c>
      <c r="L352" s="53">
        <f>VLOOKUP(D352,'UPah &amp; Bahan oke'!$D$9:$H$169,5,0)</f>
        <v>110000</v>
      </c>
      <c r="M352" s="65" t="s">
        <v>10</v>
      </c>
      <c r="N352" s="67" t="s">
        <v>27</v>
      </c>
      <c r="O352" s="80">
        <f>L352*H352</f>
        <v>33000</v>
      </c>
    </row>
    <row r="353" spans="2:15" ht="20.100000000000001" customHeight="1" x14ac:dyDescent="0.3">
      <c r="B353" s="59"/>
      <c r="C353" s="59"/>
      <c r="D353" s="52" t="s">
        <v>103</v>
      </c>
      <c r="H353" s="57">
        <v>0.15</v>
      </c>
      <c r="I353" s="65" t="s">
        <v>16</v>
      </c>
      <c r="J353" s="65" t="s">
        <v>8</v>
      </c>
      <c r="K353" s="65" t="s">
        <v>27</v>
      </c>
      <c r="L353" s="53">
        <f>VLOOKUP(D353,'UPah &amp; Bahan oke'!$D$9:$H$169,5,0)</f>
        <v>153000</v>
      </c>
      <c r="M353" s="65" t="s">
        <v>10</v>
      </c>
      <c r="N353" s="67" t="s">
        <v>27</v>
      </c>
      <c r="O353" s="80">
        <f>L353*H353</f>
        <v>22950</v>
      </c>
    </row>
    <row r="354" spans="2:15" ht="20.100000000000001" customHeight="1" x14ac:dyDescent="0.3">
      <c r="B354" s="59"/>
      <c r="C354" s="59"/>
      <c r="D354" s="52" t="s">
        <v>93</v>
      </c>
      <c r="H354" s="57">
        <v>1.4999999999999999E-2</v>
      </c>
      <c r="I354" s="65" t="s">
        <v>16</v>
      </c>
      <c r="J354" s="65" t="s">
        <v>8</v>
      </c>
      <c r="K354" s="65" t="s">
        <v>27</v>
      </c>
      <c r="L354" s="53">
        <f>VLOOKUP(D354,'UPah &amp; Bahan oke'!$D$9:$H$169,5,0)</f>
        <v>170000</v>
      </c>
      <c r="M354" s="65" t="s">
        <v>10</v>
      </c>
      <c r="N354" s="67" t="s">
        <v>27</v>
      </c>
      <c r="O354" s="80">
        <f>L354*H354</f>
        <v>2550</v>
      </c>
    </row>
    <row r="355" spans="2:15" ht="20.100000000000001" customHeight="1" x14ac:dyDescent="0.3">
      <c r="B355" s="59"/>
      <c r="C355" s="59"/>
      <c r="D355" s="52" t="s">
        <v>19</v>
      </c>
      <c r="H355" s="57">
        <v>1.4999999999999999E-2</v>
      </c>
      <c r="I355" s="65" t="s">
        <v>16</v>
      </c>
      <c r="J355" s="65" t="s">
        <v>8</v>
      </c>
      <c r="K355" s="65" t="s">
        <v>27</v>
      </c>
      <c r="L355" s="53">
        <f>VLOOKUP(D355,'UPah &amp; Bahan oke'!$D$9:$H$169,5,0)</f>
        <v>150000</v>
      </c>
      <c r="M355" s="65" t="s">
        <v>10</v>
      </c>
      <c r="N355" s="67" t="s">
        <v>27</v>
      </c>
      <c r="O355" s="80">
        <f>L355*H355</f>
        <v>2250</v>
      </c>
    </row>
    <row r="356" spans="2:15" ht="20.100000000000001" customHeight="1" x14ac:dyDescent="0.3">
      <c r="B356" s="67"/>
      <c r="C356" s="67"/>
      <c r="H356" s="57"/>
      <c r="I356" s="65"/>
      <c r="J356" s="65"/>
      <c r="K356" s="67" t="s">
        <v>20</v>
      </c>
      <c r="M356" s="65" t="s">
        <v>10</v>
      </c>
      <c r="N356" s="67" t="s">
        <v>27</v>
      </c>
      <c r="O356" s="90">
        <f>SUM(O352:O355)</f>
        <v>60750</v>
      </c>
    </row>
    <row r="357" spans="2:15" ht="20.100000000000001" customHeight="1" x14ac:dyDescent="0.3">
      <c r="B357" s="55" t="s">
        <v>29</v>
      </c>
      <c r="C357" s="87" t="s">
        <v>29</v>
      </c>
      <c r="D357" s="56" t="s">
        <v>29</v>
      </c>
      <c r="H357" s="57"/>
      <c r="I357" s="65"/>
      <c r="J357" s="65"/>
      <c r="K357" s="67" t="s">
        <v>21</v>
      </c>
      <c r="M357" s="65" t="s">
        <v>10</v>
      </c>
      <c r="N357" s="67" t="s">
        <v>27</v>
      </c>
      <c r="O357" s="130">
        <f>O356+O350</f>
        <v>81703</v>
      </c>
    </row>
    <row r="358" spans="2:15" ht="20.100000000000001" customHeight="1" x14ac:dyDescent="0.3">
      <c r="B358" s="55" t="s">
        <v>525</v>
      </c>
      <c r="C358" s="87"/>
      <c r="D358" s="56" t="s">
        <v>350</v>
      </c>
      <c r="E358" s="56" t="s">
        <v>516</v>
      </c>
      <c r="G358" s="57"/>
      <c r="H358" s="65"/>
      <c r="I358" s="65"/>
      <c r="J358" s="65"/>
      <c r="K358" s="78"/>
      <c r="L358" s="88"/>
      <c r="M358" s="67"/>
      <c r="N358" s="80"/>
    </row>
    <row r="359" spans="2:15" ht="20.100000000000001" customHeight="1" x14ac:dyDescent="0.3">
      <c r="B359" s="55"/>
      <c r="C359" s="55" t="s">
        <v>215</v>
      </c>
      <c r="D359" s="56" t="s">
        <v>94</v>
      </c>
      <c r="G359" s="57"/>
      <c r="H359" s="65"/>
      <c r="I359" s="65"/>
      <c r="J359" s="65"/>
      <c r="K359" s="78"/>
      <c r="L359" s="88"/>
      <c r="M359" s="67"/>
      <c r="N359" s="80"/>
    </row>
    <row r="360" spans="2:15" ht="20.100000000000001" customHeight="1" x14ac:dyDescent="0.3">
      <c r="B360" s="59"/>
      <c r="C360" s="59" t="s">
        <v>29</v>
      </c>
      <c r="D360" s="52" t="s">
        <v>517</v>
      </c>
      <c r="H360" s="89">
        <v>1.1000000000000001</v>
      </c>
      <c r="I360" s="65" t="s">
        <v>109</v>
      </c>
      <c r="J360" s="65" t="s">
        <v>8</v>
      </c>
      <c r="K360" s="65" t="s">
        <v>27</v>
      </c>
      <c r="L360" s="53">
        <f>'UPah &amp; Bahan oke'!H51</f>
        <v>25000</v>
      </c>
      <c r="M360" s="65" t="s">
        <v>10</v>
      </c>
      <c r="N360" s="67" t="s">
        <v>27</v>
      </c>
      <c r="O360" s="80">
        <f>L360*H360</f>
        <v>27500.000000000004</v>
      </c>
    </row>
    <row r="361" spans="2:15" ht="20.100000000000001" customHeight="1" x14ac:dyDescent="0.3">
      <c r="B361" s="59"/>
      <c r="C361" s="59" t="s">
        <v>29</v>
      </c>
      <c r="D361" s="60" t="s">
        <v>172</v>
      </c>
      <c r="H361" s="57">
        <v>0.02</v>
      </c>
      <c r="I361" s="65" t="s">
        <v>12</v>
      </c>
      <c r="J361" s="65" t="s">
        <v>8</v>
      </c>
      <c r="K361" s="65" t="s">
        <v>27</v>
      </c>
      <c r="L361" s="53">
        <f>'UPah &amp; Bahan oke'!H52</f>
        <v>46000</v>
      </c>
      <c r="M361" s="65" t="s">
        <v>10</v>
      </c>
      <c r="N361" s="67" t="s">
        <v>27</v>
      </c>
      <c r="O361" s="80">
        <f>L361*H361</f>
        <v>920</v>
      </c>
    </row>
    <row r="362" spans="2:15" ht="20.100000000000001" customHeight="1" x14ac:dyDescent="0.3">
      <c r="B362" s="67"/>
      <c r="C362" s="67"/>
      <c r="H362" s="57"/>
      <c r="I362" s="65"/>
      <c r="J362" s="65"/>
      <c r="K362" s="67" t="s">
        <v>13</v>
      </c>
      <c r="M362" s="65" t="s">
        <v>10</v>
      </c>
      <c r="N362" s="67" t="s">
        <v>27</v>
      </c>
      <c r="O362" s="90">
        <f>SUM(O360:O361)</f>
        <v>28420.000000000004</v>
      </c>
    </row>
    <row r="363" spans="2:15" ht="20.100000000000001" customHeight="1" x14ac:dyDescent="0.3">
      <c r="B363" s="55"/>
      <c r="C363" s="55" t="s">
        <v>217</v>
      </c>
      <c r="D363" s="56" t="s">
        <v>95</v>
      </c>
      <c r="H363" s="57"/>
      <c r="I363" s="65"/>
      <c r="J363" s="65"/>
      <c r="K363" s="65"/>
      <c r="M363" s="65"/>
      <c r="N363" s="67"/>
      <c r="O363" s="80"/>
    </row>
    <row r="364" spans="2:15" ht="20.100000000000001" customHeight="1" x14ac:dyDescent="0.3">
      <c r="B364" s="59"/>
      <c r="C364" s="59"/>
      <c r="D364" s="52" t="s">
        <v>17</v>
      </c>
      <c r="H364" s="57">
        <v>0.15</v>
      </c>
      <c r="I364" s="65" t="s">
        <v>16</v>
      </c>
      <c r="J364" s="65" t="s">
        <v>8</v>
      </c>
      <c r="K364" s="65" t="s">
        <v>27</v>
      </c>
      <c r="L364" s="53">
        <f>VLOOKUP(D364,'UPah &amp; Bahan oke'!$D$9:$H$169,5,0)</f>
        <v>110000</v>
      </c>
      <c r="M364" s="65" t="s">
        <v>10</v>
      </c>
      <c r="N364" s="67" t="s">
        <v>27</v>
      </c>
      <c r="O364" s="80">
        <f>L364*H364</f>
        <v>16500</v>
      </c>
    </row>
    <row r="365" spans="2:15" ht="20.100000000000001" customHeight="1" x14ac:dyDescent="0.3">
      <c r="B365" s="59"/>
      <c r="C365" s="59"/>
      <c r="D365" s="52" t="s">
        <v>103</v>
      </c>
      <c r="H365" s="57">
        <v>0.1</v>
      </c>
      <c r="I365" s="65" t="s">
        <v>16</v>
      </c>
      <c r="J365" s="65" t="s">
        <v>8</v>
      </c>
      <c r="K365" s="65" t="s">
        <v>27</v>
      </c>
      <c r="L365" s="53">
        <f>VLOOKUP(D365,'UPah &amp; Bahan oke'!$D$9:$H$169,5,0)</f>
        <v>153000</v>
      </c>
      <c r="M365" s="65" t="s">
        <v>10</v>
      </c>
      <c r="N365" s="67" t="s">
        <v>27</v>
      </c>
      <c r="O365" s="80">
        <f>L365*H365</f>
        <v>15300</v>
      </c>
    </row>
    <row r="366" spans="2:15" ht="20.100000000000001" customHeight="1" x14ac:dyDescent="0.3">
      <c r="B366" s="59"/>
      <c r="C366" s="59"/>
      <c r="D366" s="52" t="s">
        <v>93</v>
      </c>
      <c r="H366" s="57">
        <v>1.4999999999999999E-2</v>
      </c>
      <c r="I366" s="65" t="s">
        <v>16</v>
      </c>
      <c r="J366" s="65" t="s">
        <v>8</v>
      </c>
      <c r="K366" s="65" t="s">
        <v>27</v>
      </c>
      <c r="L366" s="53">
        <f>VLOOKUP(D366,'UPah &amp; Bahan oke'!$D$9:$H$169,5,0)</f>
        <v>170000</v>
      </c>
      <c r="M366" s="65" t="s">
        <v>10</v>
      </c>
      <c r="N366" s="67" t="s">
        <v>27</v>
      </c>
      <c r="O366" s="80">
        <f>L366*H366</f>
        <v>2550</v>
      </c>
    </row>
    <row r="367" spans="2:15" ht="20.100000000000001" customHeight="1" x14ac:dyDescent="0.3">
      <c r="B367" s="59"/>
      <c r="C367" s="59"/>
      <c r="D367" s="52" t="s">
        <v>19</v>
      </c>
      <c r="H367" s="57">
        <v>1.2999999999999999E-2</v>
      </c>
      <c r="I367" s="65" t="s">
        <v>16</v>
      </c>
      <c r="J367" s="65" t="s">
        <v>8</v>
      </c>
      <c r="K367" s="65" t="s">
        <v>27</v>
      </c>
      <c r="L367" s="53">
        <f>VLOOKUP(D367,'UPah &amp; Bahan oke'!$D$9:$H$169,5,0)</f>
        <v>150000</v>
      </c>
      <c r="M367" s="65" t="s">
        <v>10</v>
      </c>
      <c r="N367" s="67" t="s">
        <v>27</v>
      </c>
      <c r="O367" s="80">
        <f>L367*H367</f>
        <v>1950</v>
      </c>
    </row>
    <row r="368" spans="2:15" ht="20.100000000000001" customHeight="1" x14ac:dyDescent="0.3">
      <c r="B368" s="67"/>
      <c r="C368" s="67"/>
      <c r="H368" s="57"/>
      <c r="I368" s="65"/>
      <c r="J368" s="65"/>
      <c r="K368" s="67" t="s">
        <v>20</v>
      </c>
      <c r="M368" s="65" t="s">
        <v>10</v>
      </c>
      <c r="N368" s="67" t="s">
        <v>27</v>
      </c>
      <c r="O368" s="90">
        <f>SUM(O364:O367)</f>
        <v>36300</v>
      </c>
    </row>
    <row r="369" spans="2:15" ht="20.100000000000001" customHeight="1" x14ac:dyDescent="0.3">
      <c r="B369" s="67"/>
      <c r="C369" s="67"/>
      <c r="H369" s="57"/>
      <c r="I369" s="65"/>
      <c r="J369" s="65"/>
      <c r="K369" s="67" t="s">
        <v>21</v>
      </c>
      <c r="M369" s="65" t="s">
        <v>10</v>
      </c>
      <c r="N369" s="67" t="s">
        <v>27</v>
      </c>
      <c r="O369" s="130">
        <f>O368+O362</f>
        <v>64720</v>
      </c>
    </row>
    <row r="370" spans="2:15" ht="20.100000000000001" customHeight="1" x14ac:dyDescent="0.3">
      <c r="B370" s="67"/>
      <c r="C370" s="67"/>
      <c r="H370" s="57"/>
      <c r="I370" s="65"/>
      <c r="J370" s="65"/>
      <c r="K370" s="67"/>
      <c r="M370" s="65"/>
      <c r="N370" s="67"/>
      <c r="O370" s="86"/>
    </row>
    <row r="371" spans="2:15" ht="20.100000000000001" hidden="1" customHeight="1" x14ac:dyDescent="0.3">
      <c r="B371" s="67"/>
      <c r="C371" s="91" t="s">
        <v>230</v>
      </c>
      <c r="H371" s="57"/>
      <c r="I371" s="65"/>
      <c r="J371" s="65"/>
      <c r="K371" s="67"/>
      <c r="M371" s="65"/>
      <c r="N371" s="67"/>
      <c r="O371" s="86"/>
    </row>
    <row r="372" spans="2:15" ht="20.100000000000001" hidden="1" customHeight="1" x14ac:dyDescent="0.3">
      <c r="B372" s="67"/>
      <c r="C372" s="67"/>
      <c r="H372" s="57"/>
      <c r="I372" s="65"/>
      <c r="J372" s="65"/>
      <c r="K372" s="67"/>
      <c r="M372" s="65"/>
      <c r="N372" s="67"/>
      <c r="O372" s="86"/>
    </row>
    <row r="373" spans="2:15" ht="20.100000000000001" hidden="1" customHeight="1" x14ac:dyDescent="0.3">
      <c r="B373" s="55" t="s">
        <v>250</v>
      </c>
      <c r="C373" s="55" t="s">
        <v>375</v>
      </c>
      <c r="D373" s="56" t="s">
        <v>342</v>
      </c>
      <c r="E373" s="56" t="s">
        <v>351</v>
      </c>
      <c r="F373" s="57"/>
      <c r="G373" s="65"/>
      <c r="H373" s="65"/>
      <c r="I373" s="65"/>
      <c r="J373" s="78"/>
      <c r="M373" s="80"/>
      <c r="N373" s="67"/>
      <c r="O373" s="86"/>
    </row>
    <row r="374" spans="2:15" ht="20.100000000000001" hidden="1" customHeight="1" x14ac:dyDescent="0.3">
      <c r="B374" s="56"/>
      <c r="C374" s="56" t="s">
        <v>215</v>
      </c>
      <c r="D374" s="56" t="s">
        <v>5</v>
      </c>
      <c r="E374" s="56"/>
      <c r="F374" s="57"/>
      <c r="G374" s="65"/>
      <c r="H374" s="65"/>
      <c r="I374" s="65"/>
      <c r="J374" s="78"/>
      <c r="M374" s="80"/>
      <c r="N374" s="67"/>
      <c r="O374" s="86"/>
    </row>
    <row r="375" spans="2:15" ht="20.100000000000001" hidden="1" customHeight="1" x14ac:dyDescent="0.3">
      <c r="B375" s="59"/>
      <c r="C375" s="59"/>
      <c r="D375" s="52" t="s">
        <v>396</v>
      </c>
      <c r="H375" s="57">
        <v>26.5</v>
      </c>
      <c r="I375" s="65" t="s">
        <v>58</v>
      </c>
      <c r="J375" s="65" t="s">
        <v>8</v>
      </c>
      <c r="K375" s="65" t="s">
        <v>27</v>
      </c>
      <c r="L375" s="53">
        <f>VLOOKUP(D375,'UPah &amp; Bahan oke'!$D$9:$H$169,5,0)</f>
        <v>115000</v>
      </c>
      <c r="M375" s="65" t="s">
        <v>10</v>
      </c>
      <c r="N375" s="65" t="s">
        <v>27</v>
      </c>
      <c r="O375" s="80">
        <f>L375*H375</f>
        <v>3047500</v>
      </c>
    </row>
    <row r="376" spans="2:15" ht="20.100000000000001" hidden="1" customHeight="1" x14ac:dyDescent="0.3">
      <c r="B376" s="59"/>
      <c r="C376" s="59"/>
      <c r="D376" s="60" t="s">
        <v>59</v>
      </c>
      <c r="H376" s="57">
        <v>10.4</v>
      </c>
      <c r="I376" s="65" t="s">
        <v>12</v>
      </c>
      <c r="J376" s="65" t="s">
        <v>8</v>
      </c>
      <c r="K376" s="65" t="s">
        <v>27</v>
      </c>
      <c r="L376" s="53">
        <f>VLOOKUP(D376,'UPah &amp; Bahan oke'!$D$9:$H$169,5,0)</f>
        <v>1687.5</v>
      </c>
      <c r="M376" s="65" t="s">
        <v>10</v>
      </c>
      <c r="N376" s="65" t="s">
        <v>27</v>
      </c>
      <c r="O376" s="80">
        <f>L376*H376</f>
        <v>17550</v>
      </c>
    </row>
    <row r="377" spans="2:15" ht="20.100000000000001" hidden="1" customHeight="1" x14ac:dyDescent="0.3">
      <c r="B377" s="59"/>
      <c r="C377" s="59"/>
      <c r="D377" s="52" t="s">
        <v>60</v>
      </c>
      <c r="H377" s="57">
        <v>4.4999999999999998E-2</v>
      </c>
      <c r="I377" s="65" t="s">
        <v>325</v>
      </c>
      <c r="J377" s="65" t="s">
        <v>8</v>
      </c>
      <c r="K377" s="65" t="s">
        <v>27</v>
      </c>
      <c r="L377" s="53">
        <f>VLOOKUP(D377,'UPah &amp; Bahan oke'!$D$9:$H$169,5,0)</f>
        <v>185000</v>
      </c>
      <c r="M377" s="65" t="s">
        <v>10</v>
      </c>
      <c r="N377" s="65" t="s">
        <v>27</v>
      </c>
      <c r="O377" s="80">
        <f>L377*H377</f>
        <v>8325</v>
      </c>
    </row>
    <row r="378" spans="2:15" ht="20.100000000000001" hidden="1" customHeight="1" x14ac:dyDescent="0.3">
      <c r="B378" s="59"/>
      <c r="C378" s="59"/>
      <c r="D378" s="60" t="s">
        <v>158</v>
      </c>
      <c r="H378" s="57">
        <v>1.62</v>
      </c>
      <c r="I378" s="65" t="s">
        <v>12</v>
      </c>
      <c r="J378" s="65" t="s">
        <v>8</v>
      </c>
      <c r="K378" s="65" t="s">
        <v>27</v>
      </c>
      <c r="L378" s="53" t="e">
        <f>VLOOKUP(D378,'UPah &amp; Bahan oke'!$D$9:$H$169,5,0)</f>
        <v>#N/A</v>
      </c>
      <c r="M378" s="65" t="s">
        <v>10</v>
      </c>
      <c r="N378" s="65" t="s">
        <v>27</v>
      </c>
      <c r="O378" s="80" t="e">
        <f>L378*H378</f>
        <v>#N/A</v>
      </c>
    </row>
    <row r="379" spans="2:15" ht="20.100000000000001" hidden="1" customHeight="1" x14ac:dyDescent="0.3">
      <c r="H379" s="57"/>
      <c r="I379" s="65"/>
      <c r="J379" s="65"/>
      <c r="K379" s="67" t="s">
        <v>13</v>
      </c>
      <c r="M379" s="65" t="s">
        <v>10</v>
      </c>
      <c r="N379" s="65" t="s">
        <v>27</v>
      </c>
      <c r="O379" s="90" t="e">
        <f>SUM(O375:O378)</f>
        <v>#N/A</v>
      </c>
    </row>
    <row r="380" spans="2:15" ht="20.100000000000001" hidden="1" customHeight="1" x14ac:dyDescent="0.3">
      <c r="B380" s="56"/>
      <c r="C380" s="56" t="s">
        <v>217</v>
      </c>
      <c r="D380" s="56" t="s">
        <v>15</v>
      </c>
      <c r="H380" s="57"/>
      <c r="I380" s="65"/>
      <c r="J380" s="65"/>
      <c r="K380" s="65"/>
      <c r="M380" s="52"/>
      <c r="O380" s="80"/>
    </row>
    <row r="381" spans="2:15" ht="20.100000000000001" hidden="1" customHeight="1" x14ac:dyDescent="0.3">
      <c r="B381" s="59"/>
      <c r="C381" s="59"/>
      <c r="D381" s="52" t="s">
        <v>17</v>
      </c>
      <c r="H381" s="57">
        <v>0.7</v>
      </c>
      <c r="I381" s="65" t="s">
        <v>16</v>
      </c>
      <c r="J381" s="65" t="s">
        <v>8</v>
      </c>
      <c r="K381" s="65" t="s">
        <v>27</v>
      </c>
      <c r="L381" s="53">
        <f>VLOOKUP(D381,'UPah &amp; Bahan oke'!$D$9:$H$169,5,0)</f>
        <v>110000</v>
      </c>
      <c r="M381" s="65" t="s">
        <v>10</v>
      </c>
      <c r="N381" s="67" t="s">
        <v>27</v>
      </c>
      <c r="O381" s="80">
        <f>L381*H381</f>
        <v>77000</v>
      </c>
    </row>
    <row r="382" spans="2:15" ht="20.100000000000001" hidden="1" customHeight="1" x14ac:dyDescent="0.3">
      <c r="B382" s="59"/>
      <c r="C382" s="59"/>
      <c r="D382" s="52" t="s">
        <v>103</v>
      </c>
      <c r="H382" s="57">
        <v>0.35</v>
      </c>
      <c r="I382" s="65" t="s">
        <v>16</v>
      </c>
      <c r="J382" s="65" t="s">
        <v>8</v>
      </c>
      <c r="K382" s="65" t="s">
        <v>27</v>
      </c>
      <c r="L382" s="53">
        <f>VLOOKUP(D382,'UPah &amp; Bahan oke'!$D$9:$H$169,5,0)</f>
        <v>153000</v>
      </c>
      <c r="M382" s="65" t="s">
        <v>10</v>
      </c>
      <c r="N382" s="67" t="s">
        <v>27</v>
      </c>
      <c r="O382" s="80">
        <f>L382*H382</f>
        <v>53550</v>
      </c>
    </row>
    <row r="383" spans="2:15" ht="20.100000000000001" hidden="1" customHeight="1" x14ac:dyDescent="0.3">
      <c r="B383" s="59"/>
      <c r="C383" s="59"/>
      <c r="D383" s="52" t="s">
        <v>18</v>
      </c>
      <c r="H383" s="57">
        <v>3.5000000000000003E-2</v>
      </c>
      <c r="I383" s="65" t="s">
        <v>16</v>
      </c>
      <c r="J383" s="65" t="s">
        <v>8</v>
      </c>
      <c r="K383" s="65" t="s">
        <v>27</v>
      </c>
      <c r="L383" s="53">
        <f>VLOOKUP(D383,'UPah &amp; Bahan oke'!$D$9:$H$169,5,0)</f>
        <v>170000</v>
      </c>
      <c r="M383" s="65" t="s">
        <v>10</v>
      </c>
      <c r="N383" s="67" t="s">
        <v>27</v>
      </c>
      <c r="O383" s="80">
        <f>L383*H383</f>
        <v>5950.0000000000009</v>
      </c>
    </row>
    <row r="384" spans="2:15" ht="20.100000000000001" hidden="1" customHeight="1" x14ac:dyDescent="0.3">
      <c r="B384" s="59"/>
      <c r="C384" s="59"/>
      <c r="D384" s="52" t="s">
        <v>19</v>
      </c>
      <c r="H384" s="57">
        <v>3.5000000000000003E-2</v>
      </c>
      <c r="I384" s="65" t="s">
        <v>16</v>
      </c>
      <c r="J384" s="65" t="s">
        <v>8</v>
      </c>
      <c r="K384" s="65" t="s">
        <v>27</v>
      </c>
      <c r="L384" s="53">
        <f>VLOOKUP(D384,'UPah &amp; Bahan oke'!$D$9:$H$169,5,0)</f>
        <v>150000</v>
      </c>
      <c r="M384" s="65" t="s">
        <v>10</v>
      </c>
      <c r="N384" s="67" t="s">
        <v>27</v>
      </c>
      <c r="O384" s="80">
        <f>L384*H384</f>
        <v>5250.0000000000009</v>
      </c>
    </row>
    <row r="385" spans="2:15" ht="20.100000000000001" hidden="1" customHeight="1" x14ac:dyDescent="0.3">
      <c r="H385" s="57"/>
      <c r="I385" s="65"/>
      <c r="J385" s="65"/>
      <c r="K385" s="67" t="s">
        <v>20</v>
      </c>
      <c r="M385" s="65" t="s">
        <v>10</v>
      </c>
      <c r="N385" s="67" t="s">
        <v>27</v>
      </c>
      <c r="O385" s="92">
        <f>SUM(O381:O384)</f>
        <v>141750</v>
      </c>
    </row>
    <row r="386" spans="2:15" ht="20.100000000000001" hidden="1" customHeight="1" x14ac:dyDescent="0.3">
      <c r="H386" s="57"/>
      <c r="I386" s="65"/>
      <c r="J386" s="65"/>
      <c r="K386" s="67" t="s">
        <v>21</v>
      </c>
      <c r="M386" s="65" t="s">
        <v>10</v>
      </c>
      <c r="N386" s="67" t="s">
        <v>27</v>
      </c>
      <c r="O386" s="127" t="e">
        <f>O385+O379</f>
        <v>#N/A</v>
      </c>
    </row>
    <row r="387" spans="2:15" ht="20.100000000000001" hidden="1" customHeight="1" x14ac:dyDescent="0.3">
      <c r="H387" s="57"/>
      <c r="I387" s="65"/>
      <c r="J387" s="65"/>
      <c r="K387" s="67"/>
      <c r="M387" s="65"/>
      <c r="N387" s="67"/>
      <c r="O387" s="80"/>
    </row>
    <row r="388" spans="2:15" ht="20.100000000000001" hidden="1" customHeight="1" x14ac:dyDescent="0.3">
      <c r="B388" s="55" t="s">
        <v>250</v>
      </c>
      <c r="C388" s="55" t="s">
        <v>376</v>
      </c>
      <c r="D388" s="56" t="s">
        <v>342</v>
      </c>
      <c r="E388" s="56" t="s">
        <v>352</v>
      </c>
      <c r="F388" s="57"/>
      <c r="G388" s="65"/>
      <c r="H388" s="65"/>
      <c r="I388" s="65"/>
      <c r="J388" s="78"/>
      <c r="M388" s="80"/>
      <c r="N388" s="67"/>
      <c r="O388" s="86"/>
    </row>
    <row r="389" spans="2:15" ht="20.100000000000001" hidden="1" customHeight="1" x14ac:dyDescent="0.3">
      <c r="B389" s="56"/>
      <c r="C389" s="56" t="s">
        <v>254</v>
      </c>
      <c r="D389" s="56" t="s">
        <v>5</v>
      </c>
      <c r="F389" s="57"/>
      <c r="G389" s="65"/>
      <c r="H389" s="65"/>
      <c r="I389" s="65"/>
      <c r="J389" s="78"/>
      <c r="M389" s="80"/>
      <c r="N389" s="67"/>
      <c r="O389" s="86"/>
    </row>
    <row r="390" spans="2:15" ht="20.100000000000001" hidden="1" customHeight="1" x14ac:dyDescent="0.3">
      <c r="B390" s="59"/>
      <c r="C390" s="59"/>
      <c r="D390" s="52" t="s">
        <v>395</v>
      </c>
      <c r="H390" s="57">
        <v>2.76</v>
      </c>
      <c r="I390" s="65" t="s">
        <v>58</v>
      </c>
      <c r="J390" s="65" t="s">
        <v>8</v>
      </c>
      <c r="K390" s="65" t="s">
        <v>27</v>
      </c>
      <c r="L390" s="53">
        <f>VLOOKUP(D390,'UPah &amp; Bahan oke'!$D$9:$H$169,5,0)</f>
        <v>230000</v>
      </c>
      <c r="M390" s="65" t="s">
        <v>10</v>
      </c>
      <c r="N390" s="65" t="s">
        <v>27</v>
      </c>
      <c r="O390" s="80">
        <f>H390*L390</f>
        <v>634800</v>
      </c>
    </row>
    <row r="391" spans="2:15" ht="20.100000000000001" hidden="1" customHeight="1" x14ac:dyDescent="0.3">
      <c r="B391" s="59"/>
      <c r="C391" s="59"/>
      <c r="D391" s="60" t="s">
        <v>59</v>
      </c>
      <c r="H391" s="57">
        <v>8.19</v>
      </c>
      <c r="I391" s="65" t="s">
        <v>12</v>
      </c>
      <c r="J391" s="65" t="s">
        <v>8</v>
      </c>
      <c r="K391" s="65" t="s">
        <v>27</v>
      </c>
      <c r="L391" s="53">
        <f>VLOOKUP(D391,'UPah &amp; Bahan oke'!$D$9:$H$169,5,0)</f>
        <v>1687.5</v>
      </c>
      <c r="M391" s="65" t="s">
        <v>10</v>
      </c>
      <c r="N391" s="65" t="s">
        <v>27</v>
      </c>
      <c r="O391" s="80">
        <f>H391*L391</f>
        <v>13820.625</v>
      </c>
    </row>
    <row r="392" spans="2:15" ht="20.100000000000001" hidden="1" customHeight="1" x14ac:dyDescent="0.3">
      <c r="B392" s="59"/>
      <c r="C392" s="59"/>
      <c r="D392" s="52" t="s">
        <v>60</v>
      </c>
      <c r="H392" s="57">
        <v>4.4999999999999998E-2</v>
      </c>
      <c r="I392" s="65" t="s">
        <v>325</v>
      </c>
      <c r="J392" s="65" t="s">
        <v>8</v>
      </c>
      <c r="K392" s="65" t="s">
        <v>27</v>
      </c>
      <c r="L392" s="53">
        <f>VLOOKUP(D392,'UPah &amp; Bahan oke'!$D$9:$H$169,5,0)</f>
        <v>185000</v>
      </c>
      <c r="M392" s="65" t="s">
        <v>10</v>
      </c>
      <c r="N392" s="65" t="s">
        <v>27</v>
      </c>
      <c r="O392" s="80">
        <f>H392*L392</f>
        <v>8325</v>
      </c>
    </row>
    <row r="393" spans="2:15" ht="20.100000000000001" hidden="1" customHeight="1" x14ac:dyDescent="0.3">
      <c r="B393" s="59"/>
      <c r="C393" s="59"/>
      <c r="D393" s="60" t="s">
        <v>158</v>
      </c>
      <c r="H393" s="57">
        <v>0.65</v>
      </c>
      <c r="I393" s="65" t="s">
        <v>12</v>
      </c>
      <c r="J393" s="65" t="s">
        <v>8</v>
      </c>
      <c r="K393" s="65" t="s">
        <v>27</v>
      </c>
      <c r="L393" s="53" t="e">
        <f>VLOOKUP(D393,'UPah &amp; Bahan oke'!$D$9:$H$169,5,0)</f>
        <v>#N/A</v>
      </c>
      <c r="M393" s="65" t="s">
        <v>10</v>
      </c>
      <c r="N393" s="65" t="s">
        <v>27</v>
      </c>
      <c r="O393" s="80" t="e">
        <f>H393*L393</f>
        <v>#N/A</v>
      </c>
    </row>
    <row r="394" spans="2:15" ht="20.100000000000001" hidden="1" customHeight="1" x14ac:dyDescent="0.3">
      <c r="H394" s="57"/>
      <c r="I394" s="65"/>
      <c r="J394" s="65"/>
      <c r="K394" s="67" t="s">
        <v>13</v>
      </c>
      <c r="M394" s="65" t="s">
        <v>10</v>
      </c>
      <c r="N394" s="65" t="s">
        <v>27</v>
      </c>
      <c r="O394" s="90" t="e">
        <f>SUM(O390:O393)</f>
        <v>#N/A</v>
      </c>
    </row>
    <row r="395" spans="2:15" ht="20.100000000000001" hidden="1" customHeight="1" x14ac:dyDescent="0.3">
      <c r="B395" s="56"/>
      <c r="C395" s="56" t="s">
        <v>255</v>
      </c>
      <c r="D395" s="56" t="s">
        <v>15</v>
      </c>
      <c r="H395" s="57"/>
      <c r="I395" s="65"/>
      <c r="J395" s="65"/>
      <c r="K395" s="65"/>
      <c r="M395" s="52"/>
      <c r="O395" s="80"/>
    </row>
    <row r="396" spans="2:15" ht="20.100000000000001" hidden="1" customHeight="1" x14ac:dyDescent="0.3">
      <c r="B396" s="59"/>
      <c r="C396" s="59"/>
      <c r="D396" s="52" t="s">
        <v>17</v>
      </c>
      <c r="H396" s="57">
        <v>0.7</v>
      </c>
      <c r="I396" s="65" t="s">
        <v>16</v>
      </c>
      <c r="J396" s="65" t="s">
        <v>8</v>
      </c>
      <c r="K396" s="65" t="s">
        <v>27</v>
      </c>
      <c r="L396" s="53">
        <f>VLOOKUP(D396,'UPah &amp; Bahan oke'!$D$9:$H$169,5,0)</f>
        <v>110000</v>
      </c>
      <c r="M396" s="65" t="s">
        <v>10</v>
      </c>
      <c r="N396" s="67" t="s">
        <v>27</v>
      </c>
      <c r="O396" s="80">
        <f>H396*L396</f>
        <v>77000</v>
      </c>
    </row>
    <row r="397" spans="2:15" ht="20.100000000000001" hidden="1" customHeight="1" x14ac:dyDescent="0.3">
      <c r="B397" s="59"/>
      <c r="C397" s="59"/>
      <c r="D397" s="52" t="s">
        <v>103</v>
      </c>
      <c r="H397" s="57">
        <v>0.35</v>
      </c>
      <c r="I397" s="65" t="s">
        <v>16</v>
      </c>
      <c r="J397" s="65" t="s">
        <v>8</v>
      </c>
      <c r="K397" s="65" t="s">
        <v>27</v>
      </c>
      <c r="L397" s="53">
        <f>VLOOKUP(D397,'UPah &amp; Bahan oke'!$D$9:$H$169,5,0)</f>
        <v>153000</v>
      </c>
      <c r="M397" s="65" t="s">
        <v>10</v>
      </c>
      <c r="N397" s="67" t="s">
        <v>27</v>
      </c>
      <c r="O397" s="80">
        <f>H397*L397</f>
        <v>53550</v>
      </c>
    </row>
    <row r="398" spans="2:15" ht="20.100000000000001" hidden="1" customHeight="1" x14ac:dyDescent="0.3">
      <c r="B398" s="59"/>
      <c r="C398" s="59"/>
      <c r="D398" s="52" t="s">
        <v>18</v>
      </c>
      <c r="H398" s="57">
        <v>3.5000000000000003E-2</v>
      </c>
      <c r="I398" s="65" t="s">
        <v>16</v>
      </c>
      <c r="J398" s="65" t="s">
        <v>8</v>
      </c>
      <c r="K398" s="65" t="s">
        <v>27</v>
      </c>
      <c r="L398" s="53">
        <f>VLOOKUP(D398,'UPah &amp; Bahan oke'!$D$9:$H$169,5,0)</f>
        <v>170000</v>
      </c>
      <c r="M398" s="65" t="s">
        <v>10</v>
      </c>
      <c r="N398" s="67" t="s">
        <v>27</v>
      </c>
      <c r="O398" s="80">
        <f>H398*L398</f>
        <v>5950.0000000000009</v>
      </c>
    </row>
    <row r="399" spans="2:15" ht="20.100000000000001" hidden="1" customHeight="1" x14ac:dyDescent="0.3">
      <c r="B399" s="59"/>
      <c r="C399" s="59"/>
      <c r="D399" s="52" t="s">
        <v>19</v>
      </c>
      <c r="H399" s="57">
        <v>3.5000000000000003E-2</v>
      </c>
      <c r="I399" s="65" t="s">
        <v>16</v>
      </c>
      <c r="J399" s="65" t="s">
        <v>8</v>
      </c>
      <c r="K399" s="65" t="s">
        <v>27</v>
      </c>
      <c r="L399" s="53">
        <f>VLOOKUP(D399,'UPah &amp; Bahan oke'!$D$9:$H$169,5,0)</f>
        <v>150000</v>
      </c>
      <c r="M399" s="65" t="s">
        <v>10</v>
      </c>
      <c r="N399" s="67" t="s">
        <v>27</v>
      </c>
      <c r="O399" s="80">
        <f>H399*L399</f>
        <v>5250.0000000000009</v>
      </c>
    </row>
    <row r="400" spans="2:15" ht="20.100000000000001" hidden="1" customHeight="1" x14ac:dyDescent="0.3">
      <c r="H400" s="57"/>
      <c r="I400" s="65"/>
      <c r="J400" s="65"/>
      <c r="K400" s="67" t="s">
        <v>20</v>
      </c>
      <c r="M400" s="65" t="s">
        <v>10</v>
      </c>
      <c r="N400" s="67" t="s">
        <v>27</v>
      </c>
      <c r="O400" s="92">
        <f>SUM(O396:O399)</f>
        <v>141750</v>
      </c>
    </row>
    <row r="401" spans="2:15" ht="20.100000000000001" hidden="1" customHeight="1" x14ac:dyDescent="0.3">
      <c r="H401" s="57"/>
      <c r="I401" s="65"/>
      <c r="J401" s="65"/>
      <c r="K401" s="67" t="s">
        <v>21</v>
      </c>
      <c r="M401" s="65" t="s">
        <v>10</v>
      </c>
      <c r="N401" s="67" t="s">
        <v>27</v>
      </c>
      <c r="O401" s="127" t="e">
        <f>O400+O394</f>
        <v>#N/A</v>
      </c>
    </row>
    <row r="402" spans="2:15" ht="20.100000000000001" hidden="1" customHeight="1" x14ac:dyDescent="0.3">
      <c r="H402" s="57"/>
      <c r="I402" s="65"/>
      <c r="J402" s="65"/>
      <c r="K402" s="67"/>
      <c r="M402" s="65"/>
      <c r="N402" s="67"/>
      <c r="O402" s="80"/>
    </row>
    <row r="403" spans="2:15" ht="20.100000000000001" hidden="1" customHeight="1" x14ac:dyDescent="0.3">
      <c r="B403" s="55" t="s">
        <v>250</v>
      </c>
      <c r="C403" s="55" t="s">
        <v>383</v>
      </c>
      <c r="D403" s="56" t="s">
        <v>342</v>
      </c>
      <c r="E403" s="56" t="s">
        <v>353</v>
      </c>
      <c r="F403" s="57"/>
      <c r="G403" s="65"/>
      <c r="H403" s="65"/>
      <c r="I403" s="65"/>
      <c r="J403" s="78"/>
      <c r="M403" s="80"/>
      <c r="N403" s="67"/>
      <c r="O403" s="80"/>
    </row>
    <row r="404" spans="2:15" ht="20.100000000000001" hidden="1" customHeight="1" x14ac:dyDescent="0.3">
      <c r="B404" s="56"/>
      <c r="C404" s="56" t="s">
        <v>256</v>
      </c>
      <c r="D404" s="56" t="s">
        <v>5</v>
      </c>
      <c r="F404" s="57"/>
      <c r="G404" s="65"/>
      <c r="H404" s="65"/>
      <c r="I404" s="65"/>
      <c r="J404" s="78"/>
      <c r="M404" s="80"/>
      <c r="N404" s="67"/>
      <c r="O404" s="80"/>
    </row>
    <row r="405" spans="2:15" ht="20.100000000000001" hidden="1" customHeight="1" x14ac:dyDescent="0.3">
      <c r="B405" s="59"/>
      <c r="C405" s="59" t="s">
        <v>29</v>
      </c>
      <c r="D405" s="52" t="s">
        <v>257</v>
      </c>
      <c r="H405" s="57">
        <v>1.05</v>
      </c>
      <c r="I405" s="65" t="s">
        <v>326</v>
      </c>
      <c r="J405" s="65" t="s">
        <v>8</v>
      </c>
      <c r="K405" s="65" t="s">
        <v>27</v>
      </c>
      <c r="L405" s="53">
        <f>VLOOKUP(D405,'UPah &amp; Bahan oke'!$D$9:$H$169,5,0)</f>
        <v>70000</v>
      </c>
      <c r="M405" s="65" t="s">
        <v>10</v>
      </c>
      <c r="N405" s="65" t="s">
        <v>27</v>
      </c>
      <c r="O405" s="80">
        <f>L405*H405</f>
        <v>73500</v>
      </c>
    </row>
    <row r="406" spans="2:15" ht="20.100000000000001" hidden="1" customHeight="1" x14ac:dyDescent="0.3">
      <c r="B406" s="59"/>
      <c r="C406" s="59" t="s">
        <v>29</v>
      </c>
      <c r="D406" s="60" t="s">
        <v>259</v>
      </c>
      <c r="H406" s="57">
        <v>0.35</v>
      </c>
      <c r="I406" s="65" t="s">
        <v>12</v>
      </c>
      <c r="J406" s="65" t="s">
        <v>8</v>
      </c>
      <c r="K406" s="65" t="s">
        <v>27</v>
      </c>
      <c r="L406" s="53">
        <f>VLOOKUP(D406,'UPah &amp; Bahan oke'!$D$9:$H$169,5,0)</f>
        <v>20000</v>
      </c>
      <c r="M406" s="65" t="s">
        <v>10</v>
      </c>
      <c r="N406" s="65" t="s">
        <v>27</v>
      </c>
      <c r="O406" s="80">
        <f>L406*H406</f>
        <v>7000</v>
      </c>
    </row>
    <row r="407" spans="2:15" ht="20.100000000000001" hidden="1" customHeight="1" x14ac:dyDescent="0.3">
      <c r="H407" s="57"/>
      <c r="I407" s="65"/>
      <c r="J407" s="65"/>
      <c r="K407" s="67" t="s">
        <v>13</v>
      </c>
      <c r="M407" s="65" t="s">
        <v>10</v>
      </c>
      <c r="N407" s="65" t="s">
        <v>27</v>
      </c>
      <c r="O407" s="90">
        <f>SUM(O405:O406)</f>
        <v>80500</v>
      </c>
    </row>
    <row r="408" spans="2:15" ht="20.100000000000001" hidden="1" customHeight="1" x14ac:dyDescent="0.3">
      <c r="B408" s="56"/>
      <c r="C408" s="56" t="s">
        <v>258</v>
      </c>
      <c r="D408" s="56" t="s">
        <v>15</v>
      </c>
      <c r="H408" s="57"/>
      <c r="I408" s="65"/>
      <c r="J408" s="65"/>
      <c r="K408" s="65"/>
      <c r="M408" s="52"/>
      <c r="O408" s="80"/>
    </row>
    <row r="409" spans="2:15" ht="20.100000000000001" hidden="1" customHeight="1" x14ac:dyDescent="0.3">
      <c r="B409" s="59"/>
      <c r="C409" s="59"/>
      <c r="D409" s="52" t="s">
        <v>17</v>
      </c>
      <c r="H409" s="57">
        <v>0.17</v>
      </c>
      <c r="I409" s="65" t="s">
        <v>16</v>
      </c>
      <c r="J409" s="65" t="s">
        <v>8</v>
      </c>
      <c r="K409" s="65" t="s">
        <v>27</v>
      </c>
      <c r="L409" s="53">
        <f>VLOOKUP(D409,'UPah &amp; Bahan oke'!$D$9:$H$169,5,0)</f>
        <v>110000</v>
      </c>
      <c r="M409" s="65" t="s">
        <v>10</v>
      </c>
      <c r="N409" s="67" t="s">
        <v>27</v>
      </c>
      <c r="O409" s="80">
        <f>L409*H409</f>
        <v>18700</v>
      </c>
    </row>
    <row r="410" spans="2:15" ht="20.100000000000001" hidden="1" customHeight="1" x14ac:dyDescent="0.3">
      <c r="B410" s="59"/>
      <c r="C410" s="59"/>
      <c r="D410" s="52" t="s">
        <v>103</v>
      </c>
      <c r="H410" s="57">
        <v>0.17</v>
      </c>
      <c r="I410" s="65" t="s">
        <v>16</v>
      </c>
      <c r="J410" s="65" t="s">
        <v>8</v>
      </c>
      <c r="K410" s="65" t="s">
        <v>27</v>
      </c>
      <c r="L410" s="53">
        <f>VLOOKUP(D410,'UPah &amp; Bahan oke'!$D$9:$H$169,5,0)</f>
        <v>153000</v>
      </c>
      <c r="M410" s="65" t="s">
        <v>10</v>
      </c>
      <c r="N410" s="67" t="s">
        <v>27</v>
      </c>
      <c r="O410" s="80">
        <f>L410*H410</f>
        <v>26010.000000000004</v>
      </c>
    </row>
    <row r="411" spans="2:15" ht="20.100000000000001" hidden="1" customHeight="1" x14ac:dyDescent="0.3">
      <c r="B411" s="59"/>
      <c r="C411" s="59"/>
      <c r="D411" s="52" t="s">
        <v>18</v>
      </c>
      <c r="H411" s="57">
        <v>1.7000000000000001E-2</v>
      </c>
      <c r="I411" s="65" t="s">
        <v>16</v>
      </c>
      <c r="J411" s="65" t="s">
        <v>8</v>
      </c>
      <c r="K411" s="65" t="s">
        <v>27</v>
      </c>
      <c r="L411" s="53">
        <f>VLOOKUP(D411,'UPah &amp; Bahan oke'!$D$9:$H$169,5,0)</f>
        <v>170000</v>
      </c>
      <c r="M411" s="65" t="s">
        <v>10</v>
      </c>
      <c r="N411" s="67" t="s">
        <v>27</v>
      </c>
      <c r="O411" s="80">
        <f>L411*H411</f>
        <v>2890</v>
      </c>
    </row>
    <row r="412" spans="2:15" ht="20.100000000000001" hidden="1" customHeight="1" x14ac:dyDescent="0.3">
      <c r="B412" s="59"/>
      <c r="C412" s="59"/>
      <c r="D412" s="52" t="s">
        <v>19</v>
      </c>
      <c r="H412" s="57">
        <v>8.5000000000000006E-3</v>
      </c>
      <c r="I412" s="65" t="s">
        <v>16</v>
      </c>
      <c r="J412" s="65" t="s">
        <v>8</v>
      </c>
      <c r="K412" s="65" t="s">
        <v>27</v>
      </c>
      <c r="L412" s="53">
        <f>VLOOKUP(D412,'UPah &amp; Bahan oke'!$D$9:$H$169,5,0)</f>
        <v>150000</v>
      </c>
      <c r="M412" s="65" t="s">
        <v>10</v>
      </c>
      <c r="N412" s="67" t="s">
        <v>27</v>
      </c>
      <c r="O412" s="80">
        <f>L412*H412</f>
        <v>1275</v>
      </c>
    </row>
    <row r="413" spans="2:15" ht="20.100000000000001" hidden="1" customHeight="1" x14ac:dyDescent="0.3">
      <c r="H413" s="57"/>
      <c r="I413" s="65"/>
      <c r="J413" s="65"/>
      <c r="K413" s="67" t="s">
        <v>20</v>
      </c>
      <c r="M413" s="65" t="s">
        <v>10</v>
      </c>
      <c r="N413" s="67" t="s">
        <v>27</v>
      </c>
      <c r="O413" s="92">
        <f>SUM(O409:O412)</f>
        <v>48875</v>
      </c>
    </row>
    <row r="414" spans="2:15" ht="20.100000000000001" hidden="1" customHeight="1" x14ac:dyDescent="0.3">
      <c r="H414" s="57"/>
      <c r="I414" s="65"/>
      <c r="J414" s="65"/>
      <c r="K414" s="67" t="s">
        <v>21</v>
      </c>
      <c r="M414" s="65" t="s">
        <v>10</v>
      </c>
      <c r="N414" s="67" t="s">
        <v>27</v>
      </c>
      <c r="O414" s="127">
        <f>O413+O407</f>
        <v>129375</v>
      </c>
    </row>
    <row r="415" spans="2:15" ht="20.100000000000001" hidden="1" customHeight="1" x14ac:dyDescent="0.3">
      <c r="B415" s="67"/>
      <c r="C415" s="67"/>
      <c r="H415" s="57"/>
      <c r="I415" s="65"/>
      <c r="J415" s="65"/>
      <c r="K415" s="67"/>
      <c r="M415" s="65"/>
      <c r="N415" s="67"/>
      <c r="O415" s="86"/>
    </row>
    <row r="416" spans="2:15" ht="20.100000000000001" hidden="1" customHeight="1" x14ac:dyDescent="0.3">
      <c r="B416" s="55" t="s">
        <v>250</v>
      </c>
      <c r="C416" s="87" t="s">
        <v>384</v>
      </c>
      <c r="D416" s="56" t="s">
        <v>342</v>
      </c>
      <c r="E416" s="56" t="s">
        <v>354</v>
      </c>
      <c r="F416" s="57"/>
      <c r="G416" s="65"/>
      <c r="H416" s="65"/>
      <c r="I416" s="65"/>
      <c r="J416" s="78"/>
      <c r="M416" s="80"/>
      <c r="N416" s="67"/>
      <c r="O416" s="86"/>
    </row>
    <row r="417" spans="2:15" ht="20.100000000000001" hidden="1" customHeight="1" x14ac:dyDescent="0.3">
      <c r="B417" s="56"/>
      <c r="C417" s="56" t="s">
        <v>252</v>
      </c>
      <c r="D417" s="56" t="s">
        <v>5</v>
      </c>
      <c r="F417" s="57"/>
      <c r="G417" s="65"/>
      <c r="H417" s="65"/>
      <c r="I417" s="65"/>
      <c r="J417" s="78"/>
      <c r="M417" s="80"/>
      <c r="N417" s="67"/>
      <c r="O417" s="86"/>
    </row>
    <row r="418" spans="2:15" ht="20.100000000000001" hidden="1" customHeight="1" x14ac:dyDescent="0.3">
      <c r="B418" s="59"/>
      <c r="C418" s="59"/>
      <c r="D418" s="52" t="s">
        <v>397</v>
      </c>
      <c r="H418" s="57">
        <v>26.5</v>
      </c>
      <c r="I418" s="65" t="s">
        <v>58</v>
      </c>
      <c r="J418" s="65" t="s">
        <v>8</v>
      </c>
      <c r="K418" s="65" t="s">
        <v>27</v>
      </c>
      <c r="L418" s="53">
        <f>VLOOKUP(D418,'UPah &amp; Bahan oke'!$D$9:$H$169,5,0)</f>
        <v>130000</v>
      </c>
      <c r="M418" s="65" t="s">
        <v>10</v>
      </c>
      <c r="N418" s="65" t="s">
        <v>27</v>
      </c>
      <c r="O418" s="80">
        <f>L418*H418</f>
        <v>3445000</v>
      </c>
    </row>
    <row r="419" spans="2:15" ht="20.100000000000001" hidden="1" customHeight="1" x14ac:dyDescent="0.3">
      <c r="B419" s="59"/>
      <c r="C419" s="59"/>
      <c r="D419" s="60" t="str">
        <f>D376</f>
        <v>Semen portland</v>
      </c>
      <c r="H419" s="57">
        <v>9.3000000000000007</v>
      </c>
      <c r="I419" s="65" t="s">
        <v>12</v>
      </c>
      <c r="J419" s="65" t="s">
        <v>8</v>
      </c>
      <c r="K419" s="65" t="s">
        <v>27</v>
      </c>
      <c r="L419" s="53">
        <f>VLOOKUP(D419,'UPah &amp; Bahan oke'!$D$9:$H$169,5,0)</f>
        <v>1687.5</v>
      </c>
      <c r="M419" s="65" t="s">
        <v>10</v>
      </c>
      <c r="N419" s="65" t="s">
        <v>27</v>
      </c>
      <c r="O419" s="80">
        <f>L419*H419</f>
        <v>15693.750000000002</v>
      </c>
    </row>
    <row r="420" spans="2:15" ht="20.100000000000001" hidden="1" customHeight="1" x14ac:dyDescent="0.3">
      <c r="B420" s="59"/>
      <c r="C420" s="59"/>
      <c r="D420" s="52" t="s">
        <v>60</v>
      </c>
      <c r="H420" s="57">
        <v>1.7999999999999999E-2</v>
      </c>
      <c r="I420" s="65" t="s">
        <v>325</v>
      </c>
      <c r="J420" s="65" t="s">
        <v>8</v>
      </c>
      <c r="K420" s="65" t="s">
        <v>27</v>
      </c>
      <c r="L420" s="53">
        <f>VLOOKUP(D420,'UPah &amp; Bahan oke'!$D$9:$H$169,5,0)</f>
        <v>185000</v>
      </c>
      <c r="M420" s="65" t="s">
        <v>10</v>
      </c>
      <c r="N420" s="65" t="s">
        <v>27</v>
      </c>
      <c r="O420" s="80">
        <f>L420*H420</f>
        <v>3329.9999999999995</v>
      </c>
    </row>
    <row r="421" spans="2:15" ht="20.100000000000001" hidden="1" customHeight="1" x14ac:dyDescent="0.3">
      <c r="B421" s="59"/>
      <c r="C421" s="59"/>
      <c r="D421" s="60" t="s">
        <v>158</v>
      </c>
      <c r="H421" s="57">
        <v>1.94</v>
      </c>
      <c r="I421" s="65" t="s">
        <v>12</v>
      </c>
      <c r="J421" s="65" t="s">
        <v>8</v>
      </c>
      <c r="K421" s="65" t="s">
        <v>27</v>
      </c>
      <c r="L421" s="53" t="e">
        <f>VLOOKUP(D421,'UPah &amp; Bahan oke'!$D$9:$H$169,5,0)</f>
        <v>#N/A</v>
      </c>
      <c r="M421" s="65" t="s">
        <v>10</v>
      </c>
      <c r="N421" s="65" t="s">
        <v>27</v>
      </c>
      <c r="O421" s="80" t="e">
        <f>L421*H421</f>
        <v>#N/A</v>
      </c>
    </row>
    <row r="422" spans="2:15" ht="20.100000000000001" hidden="1" customHeight="1" x14ac:dyDescent="0.3">
      <c r="H422" s="57"/>
      <c r="I422" s="65"/>
      <c r="J422" s="65"/>
      <c r="K422" s="67" t="s">
        <v>13</v>
      </c>
      <c r="M422" s="65" t="s">
        <v>10</v>
      </c>
      <c r="N422" s="65" t="s">
        <v>27</v>
      </c>
      <c r="O422" s="90" t="e">
        <f>SUM(O418:O421)</f>
        <v>#N/A</v>
      </c>
    </row>
    <row r="423" spans="2:15" ht="20.100000000000001" hidden="1" customHeight="1" x14ac:dyDescent="0.3">
      <c r="B423" s="56"/>
      <c r="C423" s="56" t="s">
        <v>253</v>
      </c>
      <c r="D423" s="56" t="s">
        <v>15</v>
      </c>
      <c r="H423" s="57"/>
      <c r="I423" s="65"/>
      <c r="J423" s="65"/>
      <c r="K423" s="65"/>
      <c r="M423" s="52"/>
      <c r="O423" s="80"/>
    </row>
    <row r="424" spans="2:15" ht="20.100000000000001" hidden="1" customHeight="1" x14ac:dyDescent="0.3">
      <c r="B424" s="59"/>
      <c r="C424" s="59"/>
      <c r="D424" s="52" t="s">
        <v>17</v>
      </c>
      <c r="H424" s="57">
        <v>0.9</v>
      </c>
      <c r="I424" s="65" t="s">
        <v>16</v>
      </c>
      <c r="J424" s="65" t="s">
        <v>8</v>
      </c>
      <c r="K424" s="65" t="s">
        <v>27</v>
      </c>
      <c r="L424" s="53">
        <f>VLOOKUP(D424,'UPah &amp; Bahan oke'!$D$9:$H$169,5,0)</f>
        <v>110000</v>
      </c>
      <c r="M424" s="65" t="s">
        <v>10</v>
      </c>
      <c r="N424" s="67" t="s">
        <v>27</v>
      </c>
      <c r="O424" s="80">
        <f>L424*H424</f>
        <v>99000</v>
      </c>
    </row>
    <row r="425" spans="2:15" ht="20.100000000000001" hidden="1" customHeight="1" x14ac:dyDescent="0.3">
      <c r="B425" s="59"/>
      <c r="C425" s="59"/>
      <c r="D425" s="52" t="s">
        <v>103</v>
      </c>
      <c r="H425" s="57">
        <v>0.45</v>
      </c>
      <c r="I425" s="65" t="s">
        <v>16</v>
      </c>
      <c r="J425" s="65" t="s">
        <v>8</v>
      </c>
      <c r="K425" s="65" t="s">
        <v>27</v>
      </c>
      <c r="L425" s="53">
        <f>VLOOKUP(D425,'UPah &amp; Bahan oke'!$D$9:$H$169,5,0)</f>
        <v>153000</v>
      </c>
      <c r="M425" s="65" t="s">
        <v>10</v>
      </c>
      <c r="N425" s="67" t="s">
        <v>27</v>
      </c>
      <c r="O425" s="80">
        <f>L425*H425</f>
        <v>68850</v>
      </c>
    </row>
    <row r="426" spans="2:15" ht="20.100000000000001" hidden="1" customHeight="1" x14ac:dyDescent="0.3">
      <c r="B426" s="59"/>
      <c r="C426" s="59"/>
      <c r="D426" s="52" t="s">
        <v>18</v>
      </c>
      <c r="H426" s="57">
        <v>4.4999999999999998E-2</v>
      </c>
      <c r="I426" s="65" t="s">
        <v>16</v>
      </c>
      <c r="J426" s="65" t="s">
        <v>8</v>
      </c>
      <c r="K426" s="65" t="s">
        <v>27</v>
      </c>
      <c r="L426" s="53">
        <f>VLOOKUP(D426,'UPah &amp; Bahan oke'!$D$9:$H$169,5,0)</f>
        <v>170000</v>
      </c>
      <c r="M426" s="65" t="s">
        <v>10</v>
      </c>
      <c r="N426" s="67" t="s">
        <v>27</v>
      </c>
      <c r="O426" s="80">
        <f>L426*H426</f>
        <v>7650</v>
      </c>
    </row>
    <row r="427" spans="2:15" ht="20.100000000000001" hidden="1" customHeight="1" x14ac:dyDescent="0.3">
      <c r="B427" s="59"/>
      <c r="C427" s="59"/>
      <c r="D427" s="52" t="s">
        <v>19</v>
      </c>
      <c r="H427" s="57">
        <v>4.4999999999999998E-2</v>
      </c>
      <c r="I427" s="65" t="s">
        <v>16</v>
      </c>
      <c r="J427" s="65" t="s">
        <v>8</v>
      </c>
      <c r="K427" s="65" t="s">
        <v>27</v>
      </c>
      <c r="L427" s="53">
        <f>VLOOKUP(D427,'UPah &amp; Bahan oke'!$D$9:$H$169,5,0)</f>
        <v>150000</v>
      </c>
      <c r="M427" s="65" t="s">
        <v>10</v>
      </c>
      <c r="N427" s="67" t="s">
        <v>27</v>
      </c>
      <c r="O427" s="80">
        <f>L427*H427</f>
        <v>6750</v>
      </c>
    </row>
    <row r="428" spans="2:15" ht="20.100000000000001" hidden="1" customHeight="1" x14ac:dyDescent="0.3">
      <c r="H428" s="57"/>
      <c r="I428" s="65"/>
      <c r="J428" s="65"/>
      <c r="K428" s="67" t="s">
        <v>20</v>
      </c>
      <c r="M428" s="65" t="s">
        <v>10</v>
      </c>
      <c r="N428" s="67" t="s">
        <v>27</v>
      </c>
      <c r="O428" s="92">
        <f>SUM(O424:O427)</f>
        <v>182250</v>
      </c>
    </row>
    <row r="429" spans="2:15" ht="20.100000000000001" hidden="1" customHeight="1" x14ac:dyDescent="0.3">
      <c r="H429" s="57"/>
      <c r="I429" s="65"/>
      <c r="J429" s="65"/>
      <c r="K429" s="67" t="s">
        <v>21</v>
      </c>
      <c r="M429" s="65" t="s">
        <v>10</v>
      </c>
      <c r="N429" s="67" t="s">
        <v>27</v>
      </c>
      <c r="O429" s="127" t="e">
        <f>O428+O422</f>
        <v>#N/A</v>
      </c>
    </row>
    <row r="430" spans="2:15" ht="20.100000000000001" hidden="1" customHeight="1" x14ac:dyDescent="0.3">
      <c r="H430" s="57"/>
      <c r="I430" s="65"/>
      <c r="J430" s="65"/>
      <c r="K430" s="67"/>
      <c r="M430" s="65"/>
      <c r="N430" s="67"/>
      <c r="O430" s="127"/>
    </row>
    <row r="431" spans="2:15" ht="20.100000000000001" hidden="1" customHeight="1" x14ac:dyDescent="0.3">
      <c r="B431" s="55" t="s">
        <v>250</v>
      </c>
      <c r="C431" s="87" t="s">
        <v>385</v>
      </c>
      <c r="D431" s="56" t="s">
        <v>342</v>
      </c>
      <c r="E431" s="56" t="s">
        <v>357</v>
      </c>
      <c r="F431" s="57"/>
      <c r="G431" s="65"/>
      <c r="H431" s="65"/>
      <c r="I431" s="65"/>
      <c r="J431" s="78"/>
      <c r="L431" s="52"/>
      <c r="M431" s="80"/>
      <c r="N431" s="67"/>
      <c r="O431" s="80"/>
    </row>
    <row r="432" spans="2:15" ht="20.100000000000001" hidden="1" customHeight="1" x14ac:dyDescent="0.3">
      <c r="B432" s="56"/>
      <c r="C432" s="56" t="s">
        <v>310</v>
      </c>
      <c r="D432" s="56" t="s">
        <v>5</v>
      </c>
      <c r="F432" s="57"/>
      <c r="G432" s="65"/>
      <c r="H432" s="65"/>
      <c r="I432" s="65"/>
      <c r="J432" s="78"/>
      <c r="L432" s="52"/>
      <c r="M432" s="80"/>
      <c r="N432" s="67"/>
      <c r="O432" s="80"/>
    </row>
    <row r="433" spans="2:15" ht="20.100000000000001" hidden="1" customHeight="1" x14ac:dyDescent="0.3">
      <c r="B433" s="59"/>
      <c r="C433" s="59"/>
      <c r="D433" s="52" t="s">
        <v>399</v>
      </c>
      <c r="H433" s="57">
        <v>1.1000000000000001</v>
      </c>
      <c r="I433" s="97" t="s">
        <v>327</v>
      </c>
      <c r="J433" s="65" t="s">
        <v>8</v>
      </c>
      <c r="K433" s="65" t="s">
        <v>27</v>
      </c>
      <c r="L433" s="53">
        <f>VLOOKUP(D433,'UPah &amp; Bahan oke'!$D$9:$H$169,5,0)</f>
        <v>0</v>
      </c>
      <c r="M433" s="65" t="s">
        <v>10</v>
      </c>
      <c r="N433" s="65" t="s">
        <v>27</v>
      </c>
      <c r="O433" s="80">
        <f>L433*H433</f>
        <v>0</v>
      </c>
    </row>
    <row r="434" spans="2:15" ht="20.100000000000001" hidden="1" customHeight="1" x14ac:dyDescent="0.3">
      <c r="B434" s="59"/>
      <c r="C434" s="59"/>
      <c r="D434" s="60" t="str">
        <f>D391</f>
        <v>Semen portland</v>
      </c>
      <c r="H434" s="57">
        <v>11.75</v>
      </c>
      <c r="I434" s="65" t="s">
        <v>12</v>
      </c>
      <c r="J434" s="65" t="s">
        <v>8</v>
      </c>
      <c r="K434" s="65" t="s">
        <v>27</v>
      </c>
      <c r="L434" s="53">
        <f>VLOOKUP(D434,'UPah &amp; Bahan oke'!$D$9:$H$169,5,0)</f>
        <v>1687.5</v>
      </c>
      <c r="M434" s="65" t="s">
        <v>10</v>
      </c>
      <c r="N434" s="65" t="s">
        <v>27</v>
      </c>
      <c r="O434" s="80">
        <f>L434*H434</f>
        <v>19828.125</v>
      </c>
    </row>
    <row r="435" spans="2:15" ht="20.100000000000001" hidden="1" customHeight="1" x14ac:dyDescent="0.3">
      <c r="B435" s="59"/>
      <c r="C435" s="59"/>
      <c r="D435" s="52" t="s">
        <v>60</v>
      </c>
      <c r="H435" s="57">
        <v>3.5000000000000003E-2</v>
      </c>
      <c r="I435" s="65" t="s">
        <v>325</v>
      </c>
      <c r="J435" s="65" t="s">
        <v>8</v>
      </c>
      <c r="K435" s="65" t="s">
        <v>27</v>
      </c>
      <c r="L435" s="53">
        <f>VLOOKUP(D435,'UPah &amp; Bahan oke'!$D$9:$H$169,5,0)</f>
        <v>185000</v>
      </c>
      <c r="M435" s="65" t="s">
        <v>10</v>
      </c>
      <c r="N435" s="65" t="s">
        <v>27</v>
      </c>
      <c r="O435" s="80">
        <f>L435*H435</f>
        <v>6475.0000000000009</v>
      </c>
    </row>
    <row r="436" spans="2:15" ht="20.100000000000001" hidden="1" customHeight="1" x14ac:dyDescent="0.3">
      <c r="H436" s="57"/>
      <c r="I436" s="65"/>
      <c r="J436" s="65"/>
      <c r="K436" s="67" t="s">
        <v>13</v>
      </c>
      <c r="L436" s="78"/>
      <c r="M436" s="65" t="s">
        <v>10</v>
      </c>
      <c r="N436" s="65" t="s">
        <v>27</v>
      </c>
      <c r="O436" s="90">
        <f>SUM(O433:O435)</f>
        <v>26303.125</v>
      </c>
    </row>
    <row r="437" spans="2:15" ht="20.100000000000001" hidden="1" customHeight="1" x14ac:dyDescent="0.3">
      <c r="B437" s="56"/>
      <c r="C437" s="56" t="s">
        <v>311</v>
      </c>
      <c r="D437" s="56" t="s">
        <v>15</v>
      </c>
      <c r="H437" s="57"/>
      <c r="I437" s="65"/>
      <c r="J437" s="65"/>
      <c r="K437" s="65"/>
      <c r="L437" s="78"/>
      <c r="M437" s="52"/>
      <c r="O437" s="80"/>
    </row>
    <row r="438" spans="2:15" ht="20.100000000000001" hidden="1" customHeight="1" x14ac:dyDescent="0.3">
      <c r="B438" s="59"/>
      <c r="C438" s="59"/>
      <c r="D438" s="52" t="s">
        <v>17</v>
      </c>
      <c r="H438" s="57">
        <v>0.7</v>
      </c>
      <c r="I438" s="65" t="s">
        <v>16</v>
      </c>
      <c r="J438" s="65" t="s">
        <v>8</v>
      </c>
      <c r="K438" s="65" t="s">
        <v>27</v>
      </c>
      <c r="L438" s="53">
        <f>VLOOKUP(D438,'UPah &amp; Bahan oke'!$D$9:$H$169,5,0)</f>
        <v>110000</v>
      </c>
      <c r="M438" s="65" t="s">
        <v>10</v>
      </c>
      <c r="N438" s="67" t="s">
        <v>27</v>
      </c>
      <c r="O438" s="80">
        <f>L438*H438</f>
        <v>77000</v>
      </c>
    </row>
    <row r="439" spans="2:15" ht="20.100000000000001" hidden="1" customHeight="1" x14ac:dyDescent="0.3">
      <c r="B439" s="59"/>
      <c r="C439" s="59"/>
      <c r="D439" s="52" t="s">
        <v>103</v>
      </c>
      <c r="H439" s="57">
        <v>0.35</v>
      </c>
      <c r="I439" s="65" t="s">
        <v>16</v>
      </c>
      <c r="J439" s="65" t="s">
        <v>8</v>
      </c>
      <c r="K439" s="65" t="s">
        <v>27</v>
      </c>
      <c r="L439" s="53">
        <f>VLOOKUP(D439,'UPah &amp; Bahan oke'!$D$9:$H$169,5,0)</f>
        <v>153000</v>
      </c>
      <c r="M439" s="65" t="s">
        <v>10</v>
      </c>
      <c r="N439" s="67" t="s">
        <v>27</v>
      </c>
      <c r="O439" s="80">
        <f>L439*H439</f>
        <v>53550</v>
      </c>
    </row>
    <row r="440" spans="2:15" ht="20.100000000000001" hidden="1" customHeight="1" x14ac:dyDescent="0.3">
      <c r="B440" s="59"/>
      <c r="C440" s="59"/>
      <c r="D440" s="52" t="s">
        <v>18</v>
      </c>
      <c r="H440" s="57">
        <v>3.5000000000000003E-2</v>
      </c>
      <c r="I440" s="65" t="s">
        <v>16</v>
      </c>
      <c r="J440" s="65" t="s">
        <v>8</v>
      </c>
      <c r="K440" s="65" t="s">
        <v>27</v>
      </c>
      <c r="L440" s="53">
        <f>VLOOKUP(D440,'UPah &amp; Bahan oke'!$D$9:$H$169,5,0)</f>
        <v>170000</v>
      </c>
      <c r="M440" s="65" t="s">
        <v>10</v>
      </c>
      <c r="N440" s="67" t="s">
        <v>27</v>
      </c>
      <c r="O440" s="80">
        <f>L440*H440</f>
        <v>5950.0000000000009</v>
      </c>
    </row>
    <row r="441" spans="2:15" ht="20.100000000000001" hidden="1" customHeight="1" x14ac:dyDescent="0.3">
      <c r="B441" s="59"/>
      <c r="C441" s="59"/>
      <c r="D441" s="52" t="s">
        <v>19</v>
      </c>
      <c r="H441" s="57">
        <v>3.5000000000000003E-2</v>
      </c>
      <c r="I441" s="65" t="s">
        <v>16</v>
      </c>
      <c r="J441" s="65" t="s">
        <v>8</v>
      </c>
      <c r="K441" s="65" t="s">
        <v>27</v>
      </c>
      <c r="L441" s="53">
        <f>VLOOKUP(D441,'UPah &amp; Bahan oke'!$D$9:$H$169,5,0)</f>
        <v>150000</v>
      </c>
      <c r="M441" s="65" t="s">
        <v>10</v>
      </c>
      <c r="N441" s="67" t="s">
        <v>27</v>
      </c>
      <c r="O441" s="80">
        <f>L441*H441</f>
        <v>5250.0000000000009</v>
      </c>
    </row>
    <row r="442" spans="2:15" ht="20.100000000000001" hidden="1" customHeight="1" x14ac:dyDescent="0.3">
      <c r="H442" s="57"/>
      <c r="I442" s="65"/>
      <c r="J442" s="65"/>
      <c r="K442" s="67" t="s">
        <v>20</v>
      </c>
      <c r="L442" s="78"/>
      <c r="M442" s="65" t="s">
        <v>10</v>
      </c>
      <c r="N442" s="67" t="s">
        <v>27</v>
      </c>
      <c r="O442" s="92">
        <f>SUM(O438:O441)</f>
        <v>141750</v>
      </c>
    </row>
    <row r="443" spans="2:15" ht="20.100000000000001" hidden="1" customHeight="1" x14ac:dyDescent="0.3">
      <c r="H443" s="57"/>
      <c r="I443" s="65"/>
      <c r="J443" s="65"/>
      <c r="K443" s="67" t="s">
        <v>21</v>
      </c>
      <c r="L443" s="78"/>
      <c r="M443" s="65" t="s">
        <v>10</v>
      </c>
      <c r="N443" s="67" t="s">
        <v>27</v>
      </c>
      <c r="O443" s="127">
        <f>O442+O436</f>
        <v>168053.125</v>
      </c>
    </row>
    <row r="444" spans="2:15" ht="20.100000000000001" hidden="1" customHeight="1" x14ac:dyDescent="0.3">
      <c r="H444" s="57"/>
      <c r="I444" s="65"/>
      <c r="J444" s="65"/>
      <c r="K444" s="67"/>
      <c r="L444" s="78"/>
      <c r="M444" s="65"/>
      <c r="N444" s="67"/>
      <c r="O444" s="127"/>
    </row>
    <row r="445" spans="2:15" ht="20.100000000000001" hidden="1" customHeight="1" x14ac:dyDescent="0.3">
      <c r="B445" s="67"/>
      <c r="C445" s="91" t="s">
        <v>260</v>
      </c>
      <c r="H445" s="57"/>
      <c r="I445" s="65"/>
      <c r="J445" s="65"/>
      <c r="K445" s="67"/>
      <c r="M445" s="65"/>
      <c r="N445" s="67"/>
      <c r="O445" s="86"/>
    </row>
    <row r="446" spans="2:15" ht="20.100000000000001" hidden="1" customHeight="1" x14ac:dyDescent="0.3">
      <c r="B446" s="67"/>
      <c r="C446" s="67"/>
      <c r="H446" s="57"/>
      <c r="I446" s="65"/>
      <c r="J446" s="65"/>
      <c r="K446" s="67"/>
      <c r="M446" s="65"/>
      <c r="N446" s="67"/>
      <c r="O446" s="86"/>
    </row>
    <row r="447" spans="2:15" ht="20.100000000000001" hidden="1" customHeight="1" x14ac:dyDescent="0.3">
      <c r="B447" s="55" t="s">
        <v>261</v>
      </c>
      <c r="C447" s="55" t="s">
        <v>381</v>
      </c>
      <c r="D447" s="56" t="s">
        <v>342</v>
      </c>
      <c r="E447" s="56" t="s">
        <v>436</v>
      </c>
      <c r="F447" s="56"/>
      <c r="G447" s="56"/>
      <c r="H447" s="57"/>
      <c r="I447" s="93"/>
      <c r="J447" s="65"/>
      <c r="K447" s="65"/>
      <c r="M447" s="78"/>
      <c r="N447" s="65"/>
      <c r="O447" s="65"/>
    </row>
    <row r="448" spans="2:15" ht="20.100000000000001" hidden="1" customHeight="1" x14ac:dyDescent="0.3">
      <c r="B448" s="56"/>
      <c r="C448" s="56" t="s">
        <v>262</v>
      </c>
      <c r="D448" s="56" t="s">
        <v>5</v>
      </c>
      <c r="H448" s="57"/>
      <c r="I448" s="93"/>
      <c r="J448" s="65"/>
      <c r="K448" s="65"/>
      <c r="M448" s="78"/>
      <c r="N448" s="65"/>
      <c r="O448" s="65"/>
    </row>
    <row r="449" spans="2:15" ht="20.100000000000001" hidden="1" customHeight="1" x14ac:dyDescent="0.3">
      <c r="B449" s="59"/>
      <c r="C449" s="59" t="s">
        <v>29</v>
      </c>
      <c r="D449" s="60" t="s">
        <v>316</v>
      </c>
      <c r="H449" s="94">
        <v>0.375</v>
      </c>
      <c r="I449" s="93" t="s">
        <v>89</v>
      </c>
      <c r="J449" s="65" t="s">
        <v>8</v>
      </c>
      <c r="K449" s="65" t="s">
        <v>27</v>
      </c>
      <c r="L449" s="53">
        <f>VLOOKUP(D449,'UPah &amp; Bahan oke'!$D$9:$H$169,5,0)</f>
        <v>0</v>
      </c>
      <c r="M449" s="65" t="s">
        <v>10</v>
      </c>
      <c r="N449" s="65" t="s">
        <v>27</v>
      </c>
      <c r="O449" s="80">
        <f>L449*H449</f>
        <v>0</v>
      </c>
    </row>
    <row r="450" spans="2:15" ht="20.100000000000001" hidden="1" customHeight="1" x14ac:dyDescent="0.3">
      <c r="B450" s="59"/>
      <c r="C450" s="59" t="s">
        <v>29</v>
      </c>
      <c r="D450" s="60" t="s">
        <v>11</v>
      </c>
      <c r="H450" s="94">
        <v>0.03</v>
      </c>
      <c r="I450" s="93" t="s">
        <v>12</v>
      </c>
      <c r="J450" s="65" t="s">
        <v>8</v>
      </c>
      <c r="K450" s="65" t="s">
        <v>27</v>
      </c>
      <c r="L450" s="53">
        <f>VLOOKUP(D450,'UPah &amp; Bahan oke'!$D$9:$H$169,5,0)</f>
        <v>20000</v>
      </c>
      <c r="M450" s="65" t="s">
        <v>10</v>
      </c>
      <c r="N450" s="65" t="s">
        <v>27</v>
      </c>
      <c r="O450" s="80">
        <f>L450*H450</f>
        <v>600</v>
      </c>
    </row>
    <row r="451" spans="2:15" ht="20.100000000000001" hidden="1" customHeight="1" x14ac:dyDescent="0.3">
      <c r="H451" s="57"/>
      <c r="I451" s="67"/>
      <c r="J451" s="65"/>
      <c r="K451" s="78" t="s">
        <v>13</v>
      </c>
      <c r="M451" s="65" t="s">
        <v>10</v>
      </c>
      <c r="N451" s="65" t="s">
        <v>27</v>
      </c>
      <c r="O451" s="90">
        <f>SUM(O449:O450)</f>
        <v>600</v>
      </c>
    </row>
    <row r="452" spans="2:15" ht="20.100000000000001" hidden="1" customHeight="1" x14ac:dyDescent="0.3">
      <c r="B452" s="56"/>
      <c r="C452" s="56" t="s">
        <v>61</v>
      </c>
      <c r="D452" s="56" t="s">
        <v>15</v>
      </c>
      <c r="E452" s="56"/>
      <c r="H452" s="57"/>
      <c r="I452" s="67"/>
      <c r="J452" s="65"/>
      <c r="K452" s="65"/>
      <c r="M452" s="65"/>
      <c r="N452" s="65"/>
      <c r="O452" s="80"/>
    </row>
    <row r="453" spans="2:15" ht="20.100000000000001" hidden="1" customHeight="1" x14ac:dyDescent="0.3">
      <c r="B453" s="59"/>
      <c r="C453" s="59" t="s">
        <v>29</v>
      </c>
      <c r="D453" s="52" t="s">
        <v>17</v>
      </c>
      <c r="H453" s="57">
        <v>0.1</v>
      </c>
      <c r="I453" s="67" t="s">
        <v>16</v>
      </c>
      <c r="J453" s="65" t="s">
        <v>8</v>
      </c>
      <c r="K453" s="65" t="s">
        <v>27</v>
      </c>
      <c r="L453" s="53">
        <f>VLOOKUP(D453,'UPah &amp; Bahan oke'!$D$9:$H$169,5,0)</f>
        <v>110000</v>
      </c>
      <c r="M453" s="65" t="s">
        <v>10</v>
      </c>
      <c r="N453" s="65" t="s">
        <v>27</v>
      </c>
      <c r="O453" s="80">
        <f>L453*H453</f>
        <v>11000</v>
      </c>
    </row>
    <row r="454" spans="2:15" ht="20.100000000000001" hidden="1" customHeight="1" x14ac:dyDescent="0.3">
      <c r="B454" s="59"/>
      <c r="C454" s="59" t="s">
        <v>29</v>
      </c>
      <c r="D454" s="52" t="s">
        <v>103</v>
      </c>
      <c r="H454" s="57">
        <v>0.1</v>
      </c>
      <c r="I454" s="67" t="s">
        <v>16</v>
      </c>
      <c r="J454" s="65" t="s">
        <v>8</v>
      </c>
      <c r="K454" s="65" t="s">
        <v>27</v>
      </c>
      <c r="L454" s="53">
        <f>VLOOKUP(D454,'UPah &amp; Bahan oke'!$D$9:$H$169,5,0)</f>
        <v>153000</v>
      </c>
      <c r="M454" s="65" t="s">
        <v>10</v>
      </c>
      <c r="N454" s="65" t="s">
        <v>27</v>
      </c>
      <c r="O454" s="80">
        <f>L454*H454</f>
        <v>15300</v>
      </c>
    </row>
    <row r="455" spans="2:15" ht="20.100000000000001" hidden="1" customHeight="1" x14ac:dyDescent="0.3">
      <c r="B455" s="59"/>
      <c r="C455" s="59" t="s">
        <v>101</v>
      </c>
      <c r="D455" s="52" t="s">
        <v>18</v>
      </c>
      <c r="H455" s="57">
        <v>0.01</v>
      </c>
      <c r="I455" s="67" t="s">
        <v>16</v>
      </c>
      <c r="J455" s="65" t="s">
        <v>8</v>
      </c>
      <c r="K455" s="65" t="s">
        <v>27</v>
      </c>
      <c r="L455" s="53">
        <f>VLOOKUP(D455,'UPah &amp; Bahan oke'!$D$9:$H$169,5,0)</f>
        <v>170000</v>
      </c>
      <c r="M455" s="65" t="s">
        <v>10</v>
      </c>
      <c r="N455" s="65" t="s">
        <v>27</v>
      </c>
      <c r="O455" s="80">
        <f>L455*H455</f>
        <v>1700</v>
      </c>
    </row>
    <row r="456" spans="2:15" ht="20.100000000000001" hidden="1" customHeight="1" x14ac:dyDescent="0.3">
      <c r="B456" s="59"/>
      <c r="C456" s="59" t="s">
        <v>29</v>
      </c>
      <c r="D456" s="52" t="s">
        <v>19</v>
      </c>
      <c r="H456" s="57">
        <v>5.0000000000000001E-3</v>
      </c>
      <c r="I456" s="67" t="s">
        <v>16</v>
      </c>
      <c r="J456" s="65" t="s">
        <v>8</v>
      </c>
      <c r="K456" s="65" t="s">
        <v>27</v>
      </c>
      <c r="L456" s="53">
        <f>VLOOKUP(D456,'UPah &amp; Bahan oke'!$D$9:$H$169,5,0)</f>
        <v>150000</v>
      </c>
      <c r="M456" s="65" t="s">
        <v>10</v>
      </c>
      <c r="N456" s="65" t="s">
        <v>27</v>
      </c>
      <c r="O456" s="82">
        <f>L456*H456</f>
        <v>750</v>
      </c>
    </row>
    <row r="457" spans="2:15" ht="20.100000000000001" hidden="1" customHeight="1" x14ac:dyDescent="0.3">
      <c r="C457" s="52" t="s">
        <v>29</v>
      </c>
      <c r="H457" s="57"/>
      <c r="I457" s="67"/>
      <c r="J457" s="65"/>
      <c r="K457" s="78" t="s">
        <v>20</v>
      </c>
      <c r="M457" s="65" t="s">
        <v>10</v>
      </c>
      <c r="N457" s="65" t="s">
        <v>27</v>
      </c>
      <c r="O457" s="92">
        <f>SUM(O453:O456)</f>
        <v>28750</v>
      </c>
    </row>
    <row r="458" spans="2:15" ht="20.100000000000001" hidden="1" customHeight="1" x14ac:dyDescent="0.3">
      <c r="H458" s="57"/>
      <c r="I458" s="67"/>
      <c r="J458" s="65"/>
      <c r="K458" s="78" t="s">
        <v>52</v>
      </c>
      <c r="M458" s="65" t="s">
        <v>10</v>
      </c>
      <c r="N458" s="65" t="s">
        <v>27</v>
      </c>
      <c r="O458" s="127">
        <f>+O457+O451</f>
        <v>29350</v>
      </c>
    </row>
    <row r="459" spans="2:15" ht="20.100000000000001" hidden="1" customHeight="1" x14ac:dyDescent="0.3">
      <c r="H459" s="57"/>
      <c r="I459" s="67"/>
      <c r="J459" s="65"/>
      <c r="K459" s="65"/>
      <c r="M459" s="65"/>
      <c r="N459" s="65"/>
      <c r="O459" s="80"/>
    </row>
    <row r="460" spans="2:15" ht="20.100000000000001" hidden="1" customHeight="1" x14ac:dyDescent="0.3">
      <c r="B460" s="55" t="s">
        <v>261</v>
      </c>
      <c r="C460" s="55" t="s">
        <v>337</v>
      </c>
      <c r="D460" s="56" t="s">
        <v>342</v>
      </c>
      <c r="E460" s="56" t="s">
        <v>355</v>
      </c>
      <c r="F460" s="56"/>
      <c r="G460" s="56"/>
      <c r="H460" s="57"/>
      <c r="I460" s="93"/>
      <c r="J460" s="65"/>
      <c r="K460" s="65"/>
      <c r="M460" s="78"/>
      <c r="N460" s="65"/>
      <c r="O460" s="65"/>
    </row>
    <row r="461" spans="2:15" ht="20.100000000000001" hidden="1" customHeight="1" x14ac:dyDescent="0.3">
      <c r="B461" s="56"/>
      <c r="C461" s="56" t="s">
        <v>262</v>
      </c>
      <c r="D461" s="56" t="s">
        <v>5</v>
      </c>
      <c r="H461" s="57"/>
      <c r="I461" s="93"/>
      <c r="J461" s="65"/>
      <c r="K461" s="65"/>
      <c r="M461" s="78"/>
      <c r="N461" s="65"/>
      <c r="O461" s="65"/>
    </row>
    <row r="462" spans="2:15" ht="20.100000000000001" hidden="1" customHeight="1" x14ac:dyDescent="0.3">
      <c r="B462" s="59"/>
      <c r="C462" s="59" t="s">
        <v>29</v>
      </c>
      <c r="D462" s="60" t="s">
        <v>263</v>
      </c>
      <c r="H462" s="94">
        <v>0.36399999999999999</v>
      </c>
      <c r="I462" s="93" t="s">
        <v>89</v>
      </c>
      <c r="J462" s="65" t="s">
        <v>8</v>
      </c>
      <c r="K462" s="65" t="s">
        <v>27</v>
      </c>
      <c r="L462" s="53">
        <f>VLOOKUP(D462,'UPah &amp; Bahan oke'!$D$9:$H$169,5,0)</f>
        <v>75000</v>
      </c>
      <c r="M462" s="65" t="s">
        <v>10</v>
      </c>
      <c r="N462" s="65" t="s">
        <v>27</v>
      </c>
      <c r="O462" s="80">
        <f>L462*H462</f>
        <v>27300</v>
      </c>
    </row>
    <row r="463" spans="2:15" ht="20.100000000000001" hidden="1" customHeight="1" x14ac:dyDescent="0.3">
      <c r="B463" s="59"/>
      <c r="C463" s="59" t="s">
        <v>29</v>
      </c>
      <c r="D463" s="60" t="s">
        <v>264</v>
      </c>
      <c r="H463" s="94">
        <v>0.11</v>
      </c>
      <c r="I463" s="93" t="s">
        <v>12</v>
      </c>
      <c r="J463" s="65" t="s">
        <v>8</v>
      </c>
      <c r="K463" s="65" t="s">
        <v>27</v>
      </c>
      <c r="L463" s="53">
        <f>VLOOKUP(D463,'UPah &amp; Bahan oke'!$D$9:$H$169,5,0)</f>
        <v>46000</v>
      </c>
      <c r="M463" s="65" t="s">
        <v>10</v>
      </c>
      <c r="N463" s="65" t="s">
        <v>27</v>
      </c>
      <c r="O463" s="80">
        <f>L463*H463</f>
        <v>5060</v>
      </c>
    </row>
    <row r="464" spans="2:15" ht="20.100000000000001" hidden="1" customHeight="1" x14ac:dyDescent="0.3">
      <c r="H464" s="57"/>
      <c r="I464" s="67"/>
      <c r="J464" s="65"/>
      <c r="K464" s="78" t="s">
        <v>13</v>
      </c>
      <c r="M464" s="65" t="s">
        <v>10</v>
      </c>
      <c r="N464" s="65" t="s">
        <v>27</v>
      </c>
      <c r="O464" s="90">
        <f>SUM(O462:O463)</f>
        <v>32360</v>
      </c>
    </row>
    <row r="465" spans="2:15" ht="20.100000000000001" hidden="1" customHeight="1" x14ac:dyDescent="0.3">
      <c r="B465" s="56"/>
      <c r="C465" s="56" t="s">
        <v>61</v>
      </c>
      <c r="D465" s="56" t="s">
        <v>15</v>
      </c>
      <c r="E465" s="56"/>
      <c r="H465" s="57"/>
      <c r="I465" s="67"/>
      <c r="J465" s="65"/>
      <c r="K465" s="65"/>
      <c r="M465" s="65"/>
      <c r="N465" s="65"/>
      <c r="O465" s="80"/>
    </row>
    <row r="466" spans="2:15" ht="20.100000000000001" hidden="1" customHeight="1" x14ac:dyDescent="0.3">
      <c r="B466" s="59"/>
      <c r="C466" s="59" t="s">
        <v>29</v>
      </c>
      <c r="D466" s="52" t="s">
        <v>17</v>
      </c>
      <c r="H466" s="57">
        <v>0.1</v>
      </c>
      <c r="I466" s="67" t="s">
        <v>16</v>
      </c>
      <c r="J466" s="65" t="s">
        <v>8</v>
      </c>
      <c r="K466" s="65" t="s">
        <v>27</v>
      </c>
      <c r="L466" s="53">
        <f>VLOOKUP(D466,'UPah &amp; Bahan oke'!$D$9:$H$169,5,0)</f>
        <v>110000</v>
      </c>
      <c r="M466" s="65" t="s">
        <v>10</v>
      </c>
      <c r="N466" s="65" t="s">
        <v>27</v>
      </c>
      <c r="O466" s="80">
        <f>L466*H466</f>
        <v>11000</v>
      </c>
    </row>
    <row r="467" spans="2:15" ht="20.100000000000001" hidden="1" customHeight="1" x14ac:dyDescent="0.3">
      <c r="B467" s="59"/>
      <c r="C467" s="59" t="s">
        <v>29</v>
      </c>
      <c r="D467" s="52" t="s">
        <v>103</v>
      </c>
      <c r="H467" s="57">
        <v>0.05</v>
      </c>
      <c r="I467" s="67" t="s">
        <v>16</v>
      </c>
      <c r="J467" s="65" t="s">
        <v>8</v>
      </c>
      <c r="K467" s="65" t="s">
        <v>27</v>
      </c>
      <c r="L467" s="53">
        <f>VLOOKUP(D467,'UPah &amp; Bahan oke'!$D$9:$H$169,5,0)</f>
        <v>153000</v>
      </c>
      <c r="M467" s="65" t="s">
        <v>10</v>
      </c>
      <c r="N467" s="65" t="s">
        <v>27</v>
      </c>
      <c r="O467" s="80">
        <f>L467*H467</f>
        <v>7650</v>
      </c>
    </row>
    <row r="468" spans="2:15" ht="20.100000000000001" hidden="1" customHeight="1" x14ac:dyDescent="0.3">
      <c r="B468" s="59"/>
      <c r="C468" s="59" t="s">
        <v>101</v>
      </c>
      <c r="D468" s="52" t="s">
        <v>18</v>
      </c>
      <c r="H468" s="57">
        <v>0.05</v>
      </c>
      <c r="I468" s="67" t="s">
        <v>16</v>
      </c>
      <c r="J468" s="65" t="s">
        <v>8</v>
      </c>
      <c r="K468" s="65" t="s">
        <v>27</v>
      </c>
      <c r="L468" s="53">
        <f>VLOOKUP(D468,'UPah &amp; Bahan oke'!$D$9:$H$169,5,0)</f>
        <v>170000</v>
      </c>
      <c r="M468" s="65" t="s">
        <v>10</v>
      </c>
      <c r="N468" s="65" t="s">
        <v>27</v>
      </c>
      <c r="O468" s="80">
        <f>L468*H468</f>
        <v>8500</v>
      </c>
    </row>
    <row r="469" spans="2:15" ht="20.100000000000001" hidden="1" customHeight="1" x14ac:dyDescent="0.3">
      <c r="B469" s="59"/>
      <c r="C469" s="59" t="s">
        <v>29</v>
      </c>
      <c r="D469" s="52" t="s">
        <v>19</v>
      </c>
      <c r="H469" s="57">
        <v>5.0000000000000001E-3</v>
      </c>
      <c r="I469" s="67" t="s">
        <v>16</v>
      </c>
      <c r="J469" s="65" t="s">
        <v>8</v>
      </c>
      <c r="K469" s="65" t="s">
        <v>27</v>
      </c>
      <c r="L469" s="53">
        <f>VLOOKUP(D469,'UPah &amp; Bahan oke'!$D$9:$H$169,5,0)</f>
        <v>150000</v>
      </c>
      <c r="M469" s="65" t="s">
        <v>10</v>
      </c>
      <c r="N469" s="65" t="s">
        <v>27</v>
      </c>
      <c r="O469" s="82">
        <f>L469*H469</f>
        <v>750</v>
      </c>
    </row>
    <row r="470" spans="2:15" ht="20.100000000000001" hidden="1" customHeight="1" x14ac:dyDescent="0.3">
      <c r="C470" s="52" t="s">
        <v>29</v>
      </c>
      <c r="H470" s="57"/>
      <c r="I470" s="67"/>
      <c r="J470" s="65"/>
      <c r="K470" s="78" t="s">
        <v>20</v>
      </c>
      <c r="M470" s="65" t="s">
        <v>10</v>
      </c>
      <c r="N470" s="65" t="s">
        <v>27</v>
      </c>
      <c r="O470" s="92">
        <f>SUM(O466:O469)</f>
        <v>27900</v>
      </c>
    </row>
    <row r="471" spans="2:15" ht="20.100000000000001" hidden="1" customHeight="1" x14ac:dyDescent="0.3">
      <c r="H471" s="57"/>
      <c r="I471" s="67"/>
      <c r="J471" s="65"/>
      <c r="K471" s="78" t="s">
        <v>52</v>
      </c>
      <c r="M471" s="65" t="s">
        <v>10</v>
      </c>
      <c r="N471" s="65" t="s">
        <v>27</v>
      </c>
      <c r="O471" s="127">
        <f>+O470+O464</f>
        <v>60260</v>
      </c>
    </row>
    <row r="472" spans="2:15" ht="20.100000000000001" hidden="1" customHeight="1" x14ac:dyDescent="0.3">
      <c r="H472" s="57"/>
      <c r="I472" s="67"/>
      <c r="J472" s="65"/>
      <c r="K472" s="65"/>
      <c r="M472" s="65"/>
      <c r="N472" s="65"/>
      <c r="O472" s="80"/>
    </row>
    <row r="473" spans="2:15" ht="20.100000000000001" hidden="1" customHeight="1" x14ac:dyDescent="0.3">
      <c r="B473" s="55" t="s">
        <v>261</v>
      </c>
      <c r="C473" s="55" t="s">
        <v>333</v>
      </c>
      <c r="D473" s="56" t="s">
        <v>342</v>
      </c>
      <c r="E473" s="56" t="s">
        <v>356</v>
      </c>
      <c r="F473" s="56"/>
      <c r="G473" s="56"/>
      <c r="H473" s="57"/>
      <c r="I473" s="93"/>
      <c r="J473" s="65"/>
      <c r="K473" s="65"/>
      <c r="M473" s="78"/>
      <c r="N473" s="65"/>
      <c r="O473" s="65"/>
    </row>
    <row r="474" spans="2:15" ht="20.100000000000001" hidden="1" customHeight="1" x14ac:dyDescent="0.3">
      <c r="B474" s="56"/>
      <c r="C474" s="56" t="s">
        <v>22</v>
      </c>
      <c r="D474" s="56" t="s">
        <v>5</v>
      </c>
      <c r="H474" s="57"/>
      <c r="I474" s="93"/>
      <c r="J474" s="65"/>
      <c r="K474" s="65"/>
      <c r="M474" s="78"/>
      <c r="N474" s="65"/>
      <c r="O474" s="65"/>
    </row>
    <row r="475" spans="2:15" ht="20.100000000000001" hidden="1" customHeight="1" x14ac:dyDescent="0.3">
      <c r="B475" s="59"/>
      <c r="C475" s="59" t="s">
        <v>29</v>
      </c>
      <c r="D475" s="60" t="s">
        <v>265</v>
      </c>
      <c r="H475" s="94">
        <v>1.05</v>
      </c>
      <c r="I475" s="95" t="s">
        <v>109</v>
      </c>
      <c r="J475" s="65" t="s">
        <v>8</v>
      </c>
      <c r="K475" s="65" t="s">
        <v>27</v>
      </c>
      <c r="L475" s="53">
        <f>VLOOKUP(D475,'UPah &amp; Bahan oke'!$D$9:$H$169,5,0)</f>
        <v>12000</v>
      </c>
      <c r="M475" s="65" t="s">
        <v>10</v>
      </c>
      <c r="N475" s="65" t="s">
        <v>27</v>
      </c>
      <c r="O475" s="80">
        <f>L475*H475</f>
        <v>12600</v>
      </c>
    </row>
    <row r="476" spans="2:15" ht="20.100000000000001" hidden="1" customHeight="1" x14ac:dyDescent="0.3">
      <c r="B476" s="59"/>
      <c r="C476" s="59" t="s">
        <v>101</v>
      </c>
      <c r="D476" s="60" t="s">
        <v>266</v>
      </c>
      <c r="H476" s="94">
        <v>0.15</v>
      </c>
      <c r="I476" s="93" t="s">
        <v>12</v>
      </c>
      <c r="J476" s="65" t="s">
        <v>8</v>
      </c>
      <c r="K476" s="65" t="s">
        <v>27</v>
      </c>
      <c r="L476" s="53">
        <f>VLOOKUP(D476,'UPah &amp; Bahan oke'!$D$9:$H$169,5,0)</f>
        <v>10000</v>
      </c>
      <c r="M476" s="65" t="s">
        <v>10</v>
      </c>
      <c r="N476" s="65" t="s">
        <v>27</v>
      </c>
      <c r="O476" s="80">
        <f>L476*H476</f>
        <v>1500</v>
      </c>
    </row>
    <row r="477" spans="2:15" ht="20.100000000000001" hidden="1" customHeight="1" x14ac:dyDescent="0.3">
      <c r="H477" s="57"/>
      <c r="I477" s="67"/>
      <c r="J477" s="65"/>
      <c r="K477" s="65"/>
      <c r="L477" s="53" t="s">
        <v>13</v>
      </c>
      <c r="M477" s="65" t="s">
        <v>10</v>
      </c>
      <c r="N477" s="65" t="s">
        <v>27</v>
      </c>
      <c r="O477" s="90">
        <f>SUM(O475:O476)</f>
        <v>14100</v>
      </c>
    </row>
    <row r="478" spans="2:15" ht="20.100000000000001" hidden="1" customHeight="1" x14ac:dyDescent="0.3">
      <c r="B478" s="56"/>
      <c r="C478" s="56" t="s">
        <v>219</v>
      </c>
      <c r="D478" s="56" t="s">
        <v>15</v>
      </c>
      <c r="E478" s="56"/>
      <c r="H478" s="57"/>
      <c r="I478" s="67"/>
      <c r="J478" s="65"/>
      <c r="K478" s="65"/>
      <c r="M478" s="65"/>
      <c r="N478" s="65"/>
      <c r="O478" s="80"/>
    </row>
    <row r="479" spans="2:15" ht="20.100000000000001" hidden="1" customHeight="1" x14ac:dyDescent="0.3">
      <c r="B479" s="59"/>
      <c r="C479" s="59" t="s">
        <v>29</v>
      </c>
      <c r="D479" s="52" t="s">
        <v>17</v>
      </c>
      <c r="H479" s="57">
        <v>0.06</v>
      </c>
      <c r="I479" s="67" t="s">
        <v>16</v>
      </c>
      <c r="J479" s="65" t="s">
        <v>8</v>
      </c>
      <c r="K479" s="65" t="s">
        <v>27</v>
      </c>
      <c r="L479" s="53">
        <f>VLOOKUP(D479,'UPah &amp; Bahan oke'!$D$9:$H$169,5,0)</f>
        <v>110000</v>
      </c>
      <c r="M479" s="65" t="s">
        <v>10</v>
      </c>
      <c r="N479" s="65" t="s">
        <v>27</v>
      </c>
      <c r="O479" s="80">
        <f>L479*H479</f>
        <v>6600</v>
      </c>
    </row>
    <row r="480" spans="2:15" ht="20.100000000000001" hidden="1" customHeight="1" x14ac:dyDescent="0.3">
      <c r="B480" s="59"/>
      <c r="C480" s="59" t="s">
        <v>29</v>
      </c>
      <c r="D480" s="52" t="s">
        <v>103</v>
      </c>
      <c r="H480" s="57">
        <v>0.06</v>
      </c>
      <c r="I480" s="67" t="s">
        <v>16</v>
      </c>
      <c r="J480" s="65" t="s">
        <v>8</v>
      </c>
      <c r="K480" s="65" t="s">
        <v>27</v>
      </c>
      <c r="L480" s="53">
        <f>VLOOKUP(D480,'UPah &amp; Bahan oke'!$D$9:$H$169,5,0)</f>
        <v>153000</v>
      </c>
      <c r="M480" s="65" t="s">
        <v>10</v>
      </c>
      <c r="N480" s="65" t="s">
        <v>27</v>
      </c>
      <c r="O480" s="80">
        <f>L480*H480</f>
        <v>9180</v>
      </c>
    </row>
    <row r="481" spans="2:15" ht="20.100000000000001" hidden="1" customHeight="1" x14ac:dyDescent="0.3">
      <c r="B481" s="59"/>
      <c r="C481" s="59" t="s">
        <v>29</v>
      </c>
      <c r="D481" s="52" t="s">
        <v>18</v>
      </c>
      <c r="H481" s="57">
        <v>6.0000000000000001E-3</v>
      </c>
      <c r="I481" s="67" t="s">
        <v>16</v>
      </c>
      <c r="J481" s="65" t="s">
        <v>8</v>
      </c>
      <c r="K481" s="65" t="s">
        <v>27</v>
      </c>
      <c r="L481" s="53">
        <f>VLOOKUP(D481,'UPah &amp; Bahan oke'!$D$9:$H$169,5,0)</f>
        <v>170000</v>
      </c>
      <c r="M481" s="65" t="s">
        <v>10</v>
      </c>
      <c r="N481" s="65" t="s">
        <v>27</v>
      </c>
      <c r="O481" s="80">
        <f>L481*H481</f>
        <v>1020</v>
      </c>
    </row>
    <row r="482" spans="2:15" ht="20.100000000000001" hidden="1" customHeight="1" x14ac:dyDescent="0.3">
      <c r="B482" s="59"/>
      <c r="C482" s="59" t="s">
        <v>29</v>
      </c>
      <c r="D482" s="52" t="s">
        <v>19</v>
      </c>
      <c r="H482" s="96">
        <v>3.0000000000000001E-3</v>
      </c>
      <c r="I482" s="67" t="s">
        <v>16</v>
      </c>
      <c r="J482" s="65" t="s">
        <v>8</v>
      </c>
      <c r="K482" s="65" t="s">
        <v>27</v>
      </c>
      <c r="L482" s="53">
        <f>VLOOKUP(D482,'UPah &amp; Bahan oke'!$D$9:$H$169,5,0)</f>
        <v>150000</v>
      </c>
      <c r="M482" s="65" t="s">
        <v>10</v>
      </c>
      <c r="N482" s="65" t="s">
        <v>27</v>
      </c>
      <c r="O482" s="82">
        <f>L482*H482</f>
        <v>450</v>
      </c>
    </row>
    <row r="483" spans="2:15" ht="20.100000000000001" hidden="1" customHeight="1" x14ac:dyDescent="0.3">
      <c r="H483" s="57"/>
      <c r="I483" s="67"/>
      <c r="J483" s="65"/>
      <c r="K483" s="78" t="s">
        <v>20</v>
      </c>
      <c r="M483" s="65" t="s">
        <v>10</v>
      </c>
      <c r="N483" s="65" t="s">
        <v>27</v>
      </c>
      <c r="O483" s="92">
        <f>SUM(O479:O482)</f>
        <v>17250</v>
      </c>
    </row>
    <row r="484" spans="2:15" ht="20.100000000000001" hidden="1" customHeight="1" x14ac:dyDescent="0.3">
      <c r="H484" s="57"/>
      <c r="I484" s="67"/>
      <c r="J484" s="65"/>
      <c r="K484" s="78" t="s">
        <v>52</v>
      </c>
      <c r="M484" s="65" t="s">
        <v>10</v>
      </c>
      <c r="N484" s="65" t="s">
        <v>27</v>
      </c>
      <c r="O484" s="127">
        <f>+O483+O477</f>
        <v>31350</v>
      </c>
    </row>
    <row r="485" spans="2:15" ht="20.100000000000001" customHeight="1" x14ac:dyDescent="0.3">
      <c r="B485" s="55" t="s">
        <v>441</v>
      </c>
      <c r="C485" s="55" t="s">
        <v>335</v>
      </c>
      <c r="D485" s="217" t="s">
        <v>453</v>
      </c>
      <c r="E485" s="217" t="s">
        <v>482</v>
      </c>
      <c r="I485" s="218"/>
      <c r="J485" s="67"/>
      <c r="M485" s="219"/>
      <c r="N485" s="65"/>
      <c r="O485" s="65"/>
    </row>
    <row r="486" spans="2:15" ht="20.100000000000001" customHeight="1" x14ac:dyDescent="0.3">
      <c r="B486" s="56"/>
      <c r="C486" s="56" t="s">
        <v>481</v>
      </c>
      <c r="D486" s="56" t="s">
        <v>5</v>
      </c>
      <c r="I486" s="218"/>
      <c r="J486" s="67"/>
      <c r="M486" s="219"/>
      <c r="N486" s="65"/>
      <c r="O486" s="65"/>
    </row>
    <row r="487" spans="2:15" ht="20.100000000000001" customHeight="1" x14ac:dyDescent="0.3">
      <c r="B487" s="59"/>
      <c r="C487" s="59" t="s">
        <v>29</v>
      </c>
      <c r="D487" s="52" t="s">
        <v>164</v>
      </c>
      <c r="H487" s="218">
        <v>1.2</v>
      </c>
      <c r="I487" s="67" t="s">
        <v>451</v>
      </c>
      <c r="J487" s="65" t="s">
        <v>8</v>
      </c>
      <c r="K487" s="65" t="s">
        <v>27</v>
      </c>
      <c r="L487" s="53">
        <f>VLOOKUP(D487,'UPah &amp; Bahan oke'!$D$9:$H$169,5,0)</f>
        <v>6500000</v>
      </c>
      <c r="M487" s="65" t="s">
        <v>10</v>
      </c>
      <c r="N487" s="65" t="s">
        <v>27</v>
      </c>
      <c r="O487" s="219">
        <f>H487*L487</f>
        <v>7800000</v>
      </c>
    </row>
    <row r="488" spans="2:15" ht="20.100000000000001" customHeight="1" x14ac:dyDescent="0.3">
      <c r="D488" s="52" t="s">
        <v>442</v>
      </c>
      <c r="H488" s="218">
        <v>1.25</v>
      </c>
      <c r="I488" s="67" t="s">
        <v>12</v>
      </c>
      <c r="J488" s="65" t="s">
        <v>8</v>
      </c>
      <c r="K488" s="65" t="s">
        <v>27</v>
      </c>
      <c r="L488" s="53">
        <f>VLOOKUP(D488,'UPah &amp; Bahan oke'!$D$9:$H$169,5,0)</f>
        <v>20000</v>
      </c>
      <c r="M488" s="65" t="s">
        <v>10</v>
      </c>
      <c r="N488" s="65" t="s">
        <v>27</v>
      </c>
      <c r="O488" s="219">
        <f>H488*L488</f>
        <v>25000</v>
      </c>
    </row>
    <row r="489" spans="2:15" ht="20.100000000000001" customHeight="1" x14ac:dyDescent="0.3">
      <c r="B489" s="56"/>
      <c r="C489" s="56"/>
      <c r="D489" s="52" t="s">
        <v>108</v>
      </c>
      <c r="H489" s="218">
        <v>1</v>
      </c>
      <c r="I489" s="67" t="s">
        <v>12</v>
      </c>
      <c r="J489" s="65" t="s">
        <v>8</v>
      </c>
      <c r="K489" s="65" t="s">
        <v>27</v>
      </c>
      <c r="L489" s="53">
        <f>VLOOKUP(D489,'UPah &amp; Bahan oke'!$D$9:$H$169,5,0)</f>
        <v>45000</v>
      </c>
      <c r="M489" s="65" t="s">
        <v>10</v>
      </c>
      <c r="N489" s="65" t="s">
        <v>27</v>
      </c>
      <c r="O489" s="219">
        <f>H489*L489</f>
        <v>45000</v>
      </c>
    </row>
    <row r="490" spans="2:15" ht="20.100000000000001" customHeight="1" x14ac:dyDescent="0.3">
      <c r="B490" s="59"/>
      <c r="C490" s="59" t="s">
        <v>29</v>
      </c>
      <c r="H490" s="218"/>
      <c r="I490" s="67"/>
      <c r="J490" s="103"/>
      <c r="K490" s="78" t="s">
        <v>13</v>
      </c>
      <c r="L490" s="220"/>
      <c r="M490" s="65" t="s">
        <v>10</v>
      </c>
      <c r="N490" s="65" t="s">
        <v>27</v>
      </c>
      <c r="O490" s="221">
        <f>SUM(O487:O489)</f>
        <v>7870000</v>
      </c>
    </row>
    <row r="491" spans="2:15" ht="20.100000000000001" customHeight="1" x14ac:dyDescent="0.3">
      <c r="B491" s="59"/>
      <c r="C491" s="56" t="s">
        <v>50</v>
      </c>
      <c r="D491" s="56" t="s">
        <v>15</v>
      </c>
      <c r="H491" s="218"/>
      <c r="I491" s="67"/>
      <c r="K491" s="78"/>
      <c r="L491" s="220"/>
      <c r="M491" s="65"/>
      <c r="N491" s="65"/>
      <c r="O491" s="222"/>
    </row>
    <row r="492" spans="2:15" ht="20.100000000000001" customHeight="1" x14ac:dyDescent="0.3">
      <c r="B492" s="59"/>
      <c r="C492" s="59" t="s">
        <v>29</v>
      </c>
      <c r="D492" s="105" t="s">
        <v>17</v>
      </c>
      <c r="H492" s="218">
        <v>6</v>
      </c>
      <c r="I492" s="67" t="s">
        <v>242</v>
      </c>
      <c r="J492" s="65" t="s">
        <v>8</v>
      </c>
      <c r="K492" s="65" t="s">
        <v>27</v>
      </c>
      <c r="L492" s="53">
        <f>VLOOKUP(D492,'UPah &amp; Bahan oke'!$D$9:$H$169,5,0)</f>
        <v>110000</v>
      </c>
      <c r="M492" s="65" t="s">
        <v>10</v>
      </c>
      <c r="N492" s="65" t="s">
        <v>27</v>
      </c>
      <c r="O492" s="219">
        <f>H492*L492</f>
        <v>660000</v>
      </c>
    </row>
    <row r="493" spans="2:15" ht="20.100000000000001" customHeight="1" x14ac:dyDescent="0.3">
      <c r="B493" s="59"/>
      <c r="C493" s="59" t="s">
        <v>29</v>
      </c>
      <c r="D493" s="105" t="s">
        <v>103</v>
      </c>
      <c r="H493" s="218">
        <v>18</v>
      </c>
      <c r="I493" s="67" t="s">
        <v>242</v>
      </c>
      <c r="J493" s="65" t="s">
        <v>8</v>
      </c>
      <c r="K493" s="65" t="s">
        <v>27</v>
      </c>
      <c r="L493" s="53">
        <f>VLOOKUP(D493,'UPah &amp; Bahan oke'!$D$9:$H$169,5,0)</f>
        <v>153000</v>
      </c>
      <c r="M493" s="65" t="s">
        <v>10</v>
      </c>
      <c r="N493" s="65" t="s">
        <v>27</v>
      </c>
      <c r="O493" s="219">
        <f>H493*L493</f>
        <v>2754000</v>
      </c>
    </row>
    <row r="494" spans="2:15" ht="20.100000000000001" customHeight="1" x14ac:dyDescent="0.3">
      <c r="D494" s="105" t="s">
        <v>18</v>
      </c>
      <c r="H494" s="223">
        <v>1.8</v>
      </c>
      <c r="I494" s="67" t="s">
        <v>242</v>
      </c>
      <c r="J494" s="65" t="s">
        <v>8</v>
      </c>
      <c r="K494" s="65" t="s">
        <v>27</v>
      </c>
      <c r="L494" s="53">
        <f>VLOOKUP(D494,'UPah &amp; Bahan oke'!$D$9:$H$169,5,0)</f>
        <v>170000</v>
      </c>
      <c r="M494" s="65" t="s">
        <v>10</v>
      </c>
      <c r="N494" s="65" t="s">
        <v>27</v>
      </c>
      <c r="O494" s="219">
        <f>H494*L494</f>
        <v>306000</v>
      </c>
    </row>
    <row r="495" spans="2:15" ht="20.100000000000001" customHeight="1" x14ac:dyDescent="0.3">
      <c r="D495" s="105" t="s">
        <v>19</v>
      </c>
      <c r="H495" s="223">
        <v>0.3</v>
      </c>
      <c r="I495" s="67" t="s">
        <v>242</v>
      </c>
      <c r="J495" s="65" t="s">
        <v>8</v>
      </c>
      <c r="K495" s="65" t="s">
        <v>27</v>
      </c>
      <c r="L495" s="53">
        <f>VLOOKUP(D495,'UPah &amp; Bahan oke'!$D$9:$H$169,5,0)</f>
        <v>150000</v>
      </c>
      <c r="M495" s="65" t="s">
        <v>10</v>
      </c>
      <c r="N495" s="65" t="s">
        <v>27</v>
      </c>
      <c r="O495" s="219">
        <f>H495*L495</f>
        <v>45000</v>
      </c>
    </row>
    <row r="496" spans="2:15" ht="20.100000000000001" customHeight="1" thickBot="1" x14ac:dyDescent="0.35">
      <c r="H496" s="218"/>
      <c r="I496" s="67"/>
      <c r="J496" s="105"/>
      <c r="K496" s="78" t="s">
        <v>20</v>
      </c>
      <c r="L496" s="220"/>
      <c r="M496" s="65" t="s">
        <v>10</v>
      </c>
      <c r="N496" s="65" t="s">
        <v>27</v>
      </c>
      <c r="O496" s="224">
        <f>SUM(O493:O494)</f>
        <v>3060000</v>
      </c>
    </row>
    <row r="497" spans="2:15" ht="20.100000000000001" customHeight="1" thickTop="1" x14ac:dyDescent="0.3">
      <c r="B497" s="225"/>
      <c r="C497" s="225"/>
      <c r="H497" s="218"/>
      <c r="I497" s="67"/>
      <c r="K497" s="78" t="s">
        <v>21</v>
      </c>
      <c r="L497" s="220"/>
      <c r="M497" s="65" t="s">
        <v>10</v>
      </c>
      <c r="N497" s="65" t="s">
        <v>27</v>
      </c>
      <c r="O497" s="226">
        <f>O490+O496</f>
        <v>10930000</v>
      </c>
    </row>
    <row r="498" spans="2:15" ht="20.100000000000001" customHeight="1" x14ac:dyDescent="0.3">
      <c r="B498" s="225"/>
      <c r="C498" s="225"/>
      <c r="D498" s="108"/>
      <c r="E498" s="108"/>
      <c r="F498" s="108"/>
      <c r="G498" s="108"/>
      <c r="H498" s="109"/>
      <c r="I498" s="108"/>
      <c r="J498" s="110"/>
      <c r="K498" s="111"/>
      <c r="L498" s="112"/>
      <c r="M498" s="110"/>
      <c r="N498" s="111"/>
      <c r="O498" s="112"/>
    </row>
    <row r="499" spans="2:15" ht="20.100000000000001" customHeight="1" x14ac:dyDescent="0.3">
      <c r="B499" s="55" t="s">
        <v>441</v>
      </c>
      <c r="C499" s="55" t="s">
        <v>443</v>
      </c>
      <c r="D499" s="217" t="s">
        <v>452</v>
      </c>
      <c r="E499" s="217" t="s">
        <v>444</v>
      </c>
      <c r="H499" s="218"/>
      <c r="I499" s="67"/>
      <c r="K499" s="78"/>
      <c r="L499" s="220"/>
      <c r="M499" s="65"/>
      <c r="N499" s="65"/>
      <c r="O499" s="222"/>
    </row>
    <row r="500" spans="2:15" ht="20.100000000000001" customHeight="1" x14ac:dyDescent="0.3">
      <c r="B500" s="225"/>
      <c r="C500" s="56" t="s">
        <v>445</v>
      </c>
      <c r="D500" s="56" t="s">
        <v>5</v>
      </c>
      <c r="H500" s="218"/>
      <c r="I500" s="67"/>
      <c r="K500" s="78"/>
      <c r="L500" s="220"/>
      <c r="M500" s="65"/>
      <c r="N500" s="65"/>
      <c r="O500" s="222"/>
    </row>
    <row r="501" spans="2:15" ht="20.100000000000001" customHeight="1" x14ac:dyDescent="0.3">
      <c r="B501" s="56"/>
      <c r="C501" s="225"/>
      <c r="D501" s="52" t="s">
        <v>164</v>
      </c>
      <c r="H501" s="218">
        <v>0.04</v>
      </c>
      <c r="I501" s="67" t="s">
        <v>451</v>
      </c>
      <c r="J501" s="65" t="s">
        <v>8</v>
      </c>
      <c r="K501" s="65" t="s">
        <v>27</v>
      </c>
      <c r="L501" s="53">
        <f>VLOOKUP(D501,'UPah &amp; Bahan oke'!$D$9:$H$169,5,0)</f>
        <v>6500000</v>
      </c>
      <c r="M501" s="65" t="s">
        <v>10</v>
      </c>
      <c r="N501" s="65" t="s">
        <v>27</v>
      </c>
      <c r="O501" s="219">
        <f>H501*L501</f>
        <v>260000</v>
      </c>
    </row>
    <row r="502" spans="2:15" ht="20.100000000000001" customHeight="1" x14ac:dyDescent="0.3">
      <c r="B502" s="59"/>
      <c r="C502" s="59" t="s">
        <v>29</v>
      </c>
      <c r="D502" s="52" t="s">
        <v>108</v>
      </c>
      <c r="H502" s="218">
        <v>0.5</v>
      </c>
      <c r="I502" s="67" t="s">
        <v>451</v>
      </c>
      <c r="J502" s="65" t="s">
        <v>8</v>
      </c>
      <c r="K502" s="65" t="s">
        <v>27</v>
      </c>
      <c r="L502" s="53">
        <f>VLOOKUP(D502,'UPah &amp; Bahan oke'!$D$9:$H$169,5,0)</f>
        <v>45000</v>
      </c>
      <c r="M502" s="65" t="s">
        <v>10</v>
      </c>
      <c r="N502" s="65" t="s">
        <v>27</v>
      </c>
      <c r="O502" s="219">
        <f>H502*L502</f>
        <v>22500</v>
      </c>
    </row>
    <row r="503" spans="2:15" ht="20.100000000000001" customHeight="1" x14ac:dyDescent="0.3">
      <c r="B503" s="59"/>
      <c r="C503" s="59" t="s">
        <v>101</v>
      </c>
      <c r="H503" s="218"/>
      <c r="I503" s="67"/>
      <c r="J503" s="103"/>
      <c r="K503" s="78" t="s">
        <v>13</v>
      </c>
      <c r="L503" s="220"/>
      <c r="M503" s="65" t="s">
        <v>10</v>
      </c>
      <c r="N503" s="65" t="s">
        <v>27</v>
      </c>
      <c r="O503" s="221">
        <f>SUM(O501:O502)</f>
        <v>282500</v>
      </c>
    </row>
    <row r="504" spans="2:15" ht="20.100000000000001" customHeight="1" x14ac:dyDescent="0.3">
      <c r="B504" s="59"/>
      <c r="C504" s="56" t="s">
        <v>446</v>
      </c>
      <c r="D504" s="56" t="s">
        <v>15</v>
      </c>
      <c r="H504" s="218"/>
      <c r="I504" s="67"/>
      <c r="K504" s="78"/>
      <c r="L504" s="220"/>
      <c r="M504" s="65"/>
      <c r="N504" s="65"/>
      <c r="O504" s="222"/>
    </row>
    <row r="505" spans="2:15" ht="20.100000000000001" customHeight="1" x14ac:dyDescent="0.3">
      <c r="D505" s="105" t="s">
        <v>17</v>
      </c>
      <c r="H505" s="218">
        <v>1</v>
      </c>
      <c r="I505" s="67" t="s">
        <v>242</v>
      </c>
      <c r="J505" s="65" t="s">
        <v>8</v>
      </c>
      <c r="K505" s="65" t="s">
        <v>27</v>
      </c>
      <c r="L505" s="53">
        <f>VLOOKUP(D505,'UPah &amp; Bahan oke'!$D$9:$H$169,5,0)</f>
        <v>110000</v>
      </c>
      <c r="M505" s="65" t="s">
        <v>10</v>
      </c>
      <c r="N505" s="65" t="s">
        <v>27</v>
      </c>
      <c r="O505" s="219">
        <f>H505*L505</f>
        <v>110000</v>
      </c>
    </row>
    <row r="506" spans="2:15" ht="20.100000000000001" customHeight="1" x14ac:dyDescent="0.3">
      <c r="D506" s="105" t="s">
        <v>103</v>
      </c>
      <c r="H506" s="218">
        <v>3</v>
      </c>
      <c r="I506" s="67" t="s">
        <v>242</v>
      </c>
      <c r="J506" s="65" t="s">
        <v>8</v>
      </c>
      <c r="K506" s="65" t="s">
        <v>27</v>
      </c>
      <c r="L506" s="53">
        <f>VLOOKUP(D506,'UPah &amp; Bahan oke'!$D$9:$H$169,5,0)</f>
        <v>153000</v>
      </c>
      <c r="M506" s="65" t="s">
        <v>10</v>
      </c>
      <c r="N506" s="65" t="s">
        <v>27</v>
      </c>
      <c r="O506" s="219">
        <f>H506*L506</f>
        <v>459000</v>
      </c>
    </row>
    <row r="507" spans="2:15" ht="20.100000000000001" customHeight="1" x14ac:dyDescent="0.3">
      <c r="D507" s="105" t="s">
        <v>18</v>
      </c>
      <c r="H507" s="223">
        <v>0.3</v>
      </c>
      <c r="I507" s="67" t="s">
        <v>242</v>
      </c>
      <c r="J507" s="65" t="s">
        <v>8</v>
      </c>
      <c r="K507" s="65" t="s">
        <v>27</v>
      </c>
      <c r="L507" s="53">
        <f>VLOOKUP(D507,'UPah &amp; Bahan oke'!$D$9:$H$169,5,0)</f>
        <v>170000</v>
      </c>
      <c r="M507" s="65" t="s">
        <v>10</v>
      </c>
      <c r="N507" s="65" t="s">
        <v>27</v>
      </c>
      <c r="O507" s="219">
        <f>H507*L507</f>
        <v>51000</v>
      </c>
    </row>
    <row r="508" spans="2:15" ht="20.100000000000001" customHeight="1" x14ac:dyDescent="0.3">
      <c r="B508" s="55"/>
      <c r="C508" s="55"/>
      <c r="D508" s="105" t="s">
        <v>19</v>
      </c>
      <c r="H508" s="223">
        <v>0.05</v>
      </c>
      <c r="I508" s="67" t="s">
        <v>242</v>
      </c>
      <c r="J508" s="65" t="s">
        <v>8</v>
      </c>
      <c r="K508" s="65" t="s">
        <v>27</v>
      </c>
      <c r="L508" s="53">
        <f>VLOOKUP(D508,'UPah &amp; Bahan oke'!$D$9:$H$169,5,0)</f>
        <v>150000</v>
      </c>
      <c r="M508" s="65" t="s">
        <v>10</v>
      </c>
      <c r="N508" s="65" t="s">
        <v>27</v>
      </c>
      <c r="O508" s="219">
        <f>H508*L508</f>
        <v>7500</v>
      </c>
    </row>
    <row r="509" spans="2:15" ht="20.100000000000001" customHeight="1" thickBot="1" x14ac:dyDescent="0.35">
      <c r="B509" s="56"/>
      <c r="C509" s="56"/>
      <c r="H509" s="218"/>
      <c r="I509" s="67"/>
      <c r="J509" s="105"/>
      <c r="K509" s="78" t="s">
        <v>20</v>
      </c>
      <c r="L509" s="220"/>
      <c r="M509" s="65" t="s">
        <v>10</v>
      </c>
      <c r="N509" s="65" t="s">
        <v>27</v>
      </c>
      <c r="O509" s="224">
        <f>SUM(O506:O507)</f>
        <v>510000</v>
      </c>
    </row>
    <row r="510" spans="2:15" ht="20.100000000000001" customHeight="1" thickTop="1" x14ac:dyDescent="0.3">
      <c r="B510" s="59"/>
      <c r="C510" s="59" t="s">
        <v>29</v>
      </c>
      <c r="H510" s="218"/>
      <c r="I510" s="67"/>
      <c r="K510" s="78" t="s">
        <v>21</v>
      </c>
      <c r="L510" s="220"/>
      <c r="M510" s="65" t="s">
        <v>10</v>
      </c>
      <c r="N510" s="65" t="s">
        <v>27</v>
      </c>
      <c r="O510" s="226">
        <f>O503+O509</f>
        <v>792500</v>
      </c>
    </row>
    <row r="511" spans="2:15" ht="20.100000000000001" customHeight="1" x14ac:dyDescent="0.3">
      <c r="B511" s="59"/>
      <c r="C511" s="59" t="s">
        <v>29</v>
      </c>
      <c r="D511" s="113"/>
      <c r="E511" s="113"/>
      <c r="F511" s="113"/>
      <c r="G511" s="113"/>
      <c r="H511" s="114"/>
      <c r="I511" s="108"/>
      <c r="J511" s="115"/>
      <c r="K511" s="111"/>
      <c r="L511" s="112"/>
      <c r="M511" s="115"/>
      <c r="N511" s="115"/>
      <c r="O511" s="112"/>
    </row>
    <row r="512" spans="2:15" ht="20.100000000000001" hidden="1" customHeight="1" x14ac:dyDescent="0.3">
      <c r="B512" s="217" t="s">
        <v>441</v>
      </c>
      <c r="C512" s="217" t="s">
        <v>247</v>
      </c>
      <c r="D512" s="217" t="s">
        <v>452</v>
      </c>
      <c r="E512" s="217" t="s">
        <v>447</v>
      </c>
      <c r="H512" s="218"/>
      <c r="I512" s="67"/>
      <c r="K512" s="78"/>
      <c r="L512" s="220"/>
      <c r="M512" s="65"/>
      <c r="N512" s="65"/>
      <c r="O512" s="222"/>
    </row>
    <row r="513" spans="2:16" ht="20.100000000000001" hidden="1" customHeight="1" x14ac:dyDescent="0.3">
      <c r="B513" s="56"/>
      <c r="C513" s="56" t="s">
        <v>248</v>
      </c>
      <c r="D513" s="56" t="s">
        <v>5</v>
      </c>
      <c r="H513" s="218"/>
      <c r="I513" s="67"/>
      <c r="K513" s="78"/>
      <c r="L513" s="220"/>
      <c r="M513" s="65"/>
      <c r="N513" s="65"/>
      <c r="O513" s="222"/>
    </row>
    <row r="514" spans="2:16" ht="20.100000000000001" hidden="1" customHeight="1" x14ac:dyDescent="0.3">
      <c r="B514" s="59"/>
      <c r="C514" s="59"/>
      <c r="D514" s="52" t="s">
        <v>164</v>
      </c>
      <c r="H514" s="218">
        <v>2.4E-2</v>
      </c>
      <c r="I514" s="67" t="s">
        <v>451</v>
      </c>
      <c r="J514" s="65" t="s">
        <v>8</v>
      </c>
      <c r="K514" s="65" t="s">
        <v>27</v>
      </c>
      <c r="L514" s="53">
        <f>VLOOKUP(D514,'UPah &amp; Bahan oke'!$D$9:$H$169,5,0)</f>
        <v>6500000</v>
      </c>
      <c r="M514" s="65" t="s">
        <v>10</v>
      </c>
      <c r="N514" s="65" t="s">
        <v>27</v>
      </c>
      <c r="O514" s="219">
        <f>H514*L514</f>
        <v>156000</v>
      </c>
      <c r="P514" s="102"/>
    </row>
    <row r="515" spans="2:16" ht="20.100000000000001" hidden="1" customHeight="1" x14ac:dyDescent="0.3">
      <c r="B515" s="59"/>
      <c r="C515" s="59"/>
      <c r="D515" s="52" t="s">
        <v>108</v>
      </c>
      <c r="H515" s="218">
        <v>0.3</v>
      </c>
      <c r="I515" s="67" t="s">
        <v>451</v>
      </c>
      <c r="J515" s="65" t="s">
        <v>8</v>
      </c>
      <c r="K515" s="65" t="s">
        <v>27</v>
      </c>
      <c r="L515" s="53">
        <f>VLOOKUP(D515,'UPah &amp; Bahan oke'!$D$9:$H$169,5,0)</f>
        <v>45000</v>
      </c>
      <c r="M515" s="65" t="s">
        <v>10</v>
      </c>
      <c r="N515" s="65" t="s">
        <v>27</v>
      </c>
      <c r="O515" s="219">
        <f>H515*L515</f>
        <v>13500</v>
      </c>
    </row>
    <row r="516" spans="2:16" ht="20.100000000000001" hidden="1" customHeight="1" x14ac:dyDescent="0.3">
      <c r="B516" s="59"/>
      <c r="C516" s="59"/>
      <c r="H516" s="218"/>
      <c r="I516" s="67"/>
      <c r="J516" s="103"/>
      <c r="K516" s="78" t="s">
        <v>13</v>
      </c>
      <c r="L516" s="220"/>
      <c r="M516" s="65" t="s">
        <v>10</v>
      </c>
      <c r="N516" s="65" t="s">
        <v>27</v>
      </c>
      <c r="O516" s="221">
        <f>SUM(O514:O515)</f>
        <v>169500</v>
      </c>
    </row>
    <row r="517" spans="2:16" ht="20.100000000000001" hidden="1" customHeight="1" x14ac:dyDescent="0.3">
      <c r="C517" s="56" t="s">
        <v>249</v>
      </c>
      <c r="D517" s="56" t="s">
        <v>15</v>
      </c>
      <c r="H517" s="218"/>
      <c r="I517" s="67"/>
      <c r="K517" s="78"/>
      <c r="L517" s="220"/>
      <c r="M517" s="65"/>
      <c r="N517" s="65"/>
      <c r="O517" s="222"/>
    </row>
    <row r="518" spans="2:16" ht="20.100000000000001" hidden="1" customHeight="1" x14ac:dyDescent="0.3">
      <c r="C518" s="56"/>
      <c r="D518" s="105" t="s">
        <v>17</v>
      </c>
      <c r="H518" s="218">
        <v>0.8</v>
      </c>
      <c r="I518" s="67" t="s">
        <v>242</v>
      </c>
      <c r="J518" s="65" t="s">
        <v>8</v>
      </c>
      <c r="K518" s="65" t="s">
        <v>27</v>
      </c>
      <c r="L518" s="53">
        <f>VLOOKUP(D518,'UPah &amp; Bahan oke'!$D$9:$H$169,5,0)</f>
        <v>110000</v>
      </c>
      <c r="M518" s="65" t="s">
        <v>10</v>
      </c>
      <c r="N518" s="65" t="s">
        <v>27</v>
      </c>
      <c r="O518" s="219">
        <f>H518*L518</f>
        <v>88000</v>
      </c>
    </row>
    <row r="519" spans="2:16" ht="20.100000000000001" hidden="1" customHeight="1" x14ac:dyDescent="0.3">
      <c r="B519" s="59"/>
      <c r="C519" s="59" t="s">
        <v>101</v>
      </c>
      <c r="D519" s="105" t="s">
        <v>103</v>
      </c>
      <c r="H519" s="218">
        <v>2.4</v>
      </c>
      <c r="I519" s="67" t="s">
        <v>242</v>
      </c>
      <c r="J519" s="65" t="s">
        <v>8</v>
      </c>
      <c r="K519" s="65" t="s">
        <v>27</v>
      </c>
      <c r="L519" s="53">
        <f>VLOOKUP(D519,'UPah &amp; Bahan oke'!$D$9:$H$169,5,0)</f>
        <v>153000</v>
      </c>
      <c r="M519" s="65" t="s">
        <v>10</v>
      </c>
      <c r="N519" s="65" t="s">
        <v>27</v>
      </c>
      <c r="O519" s="219">
        <f>H519*L519</f>
        <v>367200</v>
      </c>
    </row>
    <row r="520" spans="2:16" ht="20.100000000000001" hidden="1" customHeight="1" x14ac:dyDescent="0.3">
      <c r="D520" s="105" t="s">
        <v>18</v>
      </c>
      <c r="H520" s="223">
        <v>0.24</v>
      </c>
      <c r="I520" s="67" t="s">
        <v>242</v>
      </c>
      <c r="J520" s="65" t="s">
        <v>8</v>
      </c>
      <c r="K520" s="65" t="s">
        <v>27</v>
      </c>
      <c r="L520" s="53">
        <f>VLOOKUP(D520,'UPah &amp; Bahan oke'!$D$9:$H$169,5,0)</f>
        <v>170000</v>
      </c>
      <c r="M520" s="65" t="s">
        <v>10</v>
      </c>
      <c r="N520" s="65" t="s">
        <v>27</v>
      </c>
      <c r="O520" s="219">
        <f>H520*L520</f>
        <v>40800</v>
      </c>
    </row>
    <row r="521" spans="2:16" ht="20.100000000000001" hidden="1" customHeight="1" x14ac:dyDescent="0.3">
      <c r="D521" s="105" t="s">
        <v>19</v>
      </c>
      <c r="H521" s="223">
        <v>0.04</v>
      </c>
      <c r="I521" s="67" t="s">
        <v>242</v>
      </c>
      <c r="J521" s="65" t="s">
        <v>8</v>
      </c>
      <c r="K521" s="65" t="s">
        <v>27</v>
      </c>
      <c r="L521" s="53">
        <f>VLOOKUP(D521,'UPah &amp; Bahan oke'!$D$9:$H$169,5,0)</f>
        <v>150000</v>
      </c>
      <c r="M521" s="65" t="s">
        <v>10</v>
      </c>
      <c r="N521" s="65" t="s">
        <v>27</v>
      </c>
      <c r="O521" s="219">
        <f>H521*L521</f>
        <v>6000</v>
      </c>
    </row>
    <row r="522" spans="2:16" ht="20.100000000000001" hidden="1" customHeight="1" thickBot="1" x14ac:dyDescent="0.35">
      <c r="B522" s="225"/>
      <c r="C522" s="225"/>
      <c r="H522" s="218"/>
      <c r="I522" s="67"/>
      <c r="J522" s="105"/>
      <c r="K522" s="78" t="s">
        <v>20</v>
      </c>
      <c r="L522" s="220"/>
      <c r="M522" s="65" t="s">
        <v>10</v>
      </c>
      <c r="N522" s="65" t="s">
        <v>27</v>
      </c>
      <c r="O522" s="224">
        <f>SUM(O519:O520)</f>
        <v>408000</v>
      </c>
    </row>
    <row r="523" spans="2:16" ht="20.100000000000001" hidden="1" customHeight="1" thickTop="1" x14ac:dyDescent="0.3">
      <c r="B523" s="55"/>
      <c r="C523" s="55"/>
      <c r="H523" s="218"/>
      <c r="I523" s="67"/>
      <c r="K523" s="78" t="s">
        <v>21</v>
      </c>
      <c r="L523" s="220"/>
      <c r="M523" s="65" t="s">
        <v>10</v>
      </c>
      <c r="N523" s="65" t="s">
        <v>27</v>
      </c>
      <c r="O523" s="226">
        <f>O516+O522</f>
        <v>577500</v>
      </c>
    </row>
    <row r="524" spans="2:16" ht="20.100000000000001" hidden="1" customHeight="1" x14ac:dyDescent="0.3">
      <c r="B524" s="56"/>
      <c r="C524" s="56"/>
      <c r="D524" s="56"/>
      <c r="H524" s="93"/>
      <c r="I524" s="65"/>
      <c r="J524" s="65"/>
      <c r="K524" s="53"/>
      <c r="M524" s="65"/>
      <c r="N524" s="88"/>
      <c r="O524" s="220"/>
    </row>
    <row r="525" spans="2:16" ht="20.100000000000001" customHeight="1" x14ac:dyDescent="0.3">
      <c r="B525" s="55" t="s">
        <v>526</v>
      </c>
      <c r="C525" s="87"/>
      <c r="D525" s="56" t="s">
        <v>465</v>
      </c>
      <c r="E525" s="217" t="s">
        <v>508</v>
      </c>
      <c r="F525" s="225"/>
      <c r="G525" s="227"/>
      <c r="H525" s="228"/>
      <c r="I525" s="228"/>
      <c r="J525" s="228"/>
      <c r="K525" s="229"/>
      <c r="L525" s="230"/>
      <c r="M525" s="231"/>
      <c r="N525" s="232"/>
      <c r="O525" s="220"/>
    </row>
    <row r="526" spans="2:16" ht="20.100000000000001" customHeight="1" x14ac:dyDescent="0.3">
      <c r="B526" s="55"/>
      <c r="C526" s="55" t="s">
        <v>509</v>
      </c>
      <c r="D526" s="56" t="s">
        <v>94</v>
      </c>
      <c r="E526" s="225"/>
      <c r="F526" s="225"/>
      <c r="G526" s="227"/>
      <c r="H526" s="228"/>
      <c r="I526" s="228"/>
      <c r="J526" s="228"/>
      <c r="K526" s="229"/>
      <c r="L526" s="230"/>
      <c r="M526" s="231"/>
      <c r="N526" s="232"/>
      <c r="O526" s="220"/>
    </row>
    <row r="527" spans="2:16" ht="20.100000000000001" customHeight="1" x14ac:dyDescent="0.3">
      <c r="B527" s="233"/>
      <c r="C527" s="233" t="s">
        <v>29</v>
      </c>
      <c r="D527" s="225" t="s">
        <v>510</v>
      </c>
      <c r="E527" s="225"/>
      <c r="F527" s="225"/>
      <c r="G527" s="225"/>
      <c r="H527" s="234">
        <v>3.4</v>
      </c>
      <c r="I527" s="228" t="s">
        <v>109</v>
      </c>
      <c r="J527" s="228" t="s">
        <v>8</v>
      </c>
      <c r="K527" s="228" t="s">
        <v>27</v>
      </c>
      <c r="L527" s="53">
        <f>'UPah &amp; Bahan oke'!H63</f>
        <v>35000</v>
      </c>
      <c r="M527" s="228" t="s">
        <v>10</v>
      </c>
      <c r="N527" s="231" t="s">
        <v>27</v>
      </c>
      <c r="O527" s="232">
        <f>L527*H527</f>
        <v>119000</v>
      </c>
    </row>
    <row r="528" spans="2:16" ht="20.100000000000001" customHeight="1" x14ac:dyDescent="0.3">
      <c r="B528" s="233"/>
      <c r="C528" s="233"/>
      <c r="D528" s="225" t="s">
        <v>511</v>
      </c>
      <c r="E528" s="225"/>
      <c r="F528" s="225"/>
      <c r="G528" s="225"/>
      <c r="H528" s="234">
        <v>1.9</v>
      </c>
      <c r="I528" s="228" t="s">
        <v>109</v>
      </c>
      <c r="J528" s="228" t="s">
        <v>8</v>
      </c>
      <c r="K528" s="228" t="s">
        <v>27</v>
      </c>
      <c r="L528" s="53">
        <f>'UPah &amp; Bahan oke'!H64</f>
        <v>7920.0000000000009</v>
      </c>
      <c r="M528" s="228" t="s">
        <v>10</v>
      </c>
      <c r="N528" s="231" t="s">
        <v>27</v>
      </c>
      <c r="O528" s="232">
        <f>L528*H528</f>
        <v>15048.000000000002</v>
      </c>
    </row>
    <row r="529" spans="2:15" ht="20.100000000000001" customHeight="1" x14ac:dyDescent="0.3">
      <c r="B529" s="233"/>
      <c r="C529" s="233" t="s">
        <v>29</v>
      </c>
      <c r="D529" s="60" t="s">
        <v>512</v>
      </c>
      <c r="E529" s="225"/>
      <c r="F529" s="225"/>
      <c r="G529" s="225"/>
      <c r="H529" s="227">
        <v>0.5</v>
      </c>
      <c r="I529" s="228" t="s">
        <v>58</v>
      </c>
      <c r="J529" s="228" t="s">
        <v>8</v>
      </c>
      <c r="K529" s="228" t="s">
        <v>27</v>
      </c>
      <c r="L529" s="53">
        <f>'UPah &amp; Bahan oke'!H61</f>
        <v>11000</v>
      </c>
      <c r="M529" s="228" t="s">
        <v>10</v>
      </c>
      <c r="N529" s="231" t="s">
        <v>27</v>
      </c>
      <c r="O529" s="232">
        <f>L529*H529</f>
        <v>5500</v>
      </c>
    </row>
    <row r="530" spans="2:15" ht="20.100000000000001" customHeight="1" x14ac:dyDescent="0.3">
      <c r="B530" s="233"/>
      <c r="C530" s="233"/>
      <c r="D530" s="60" t="s">
        <v>513</v>
      </c>
      <c r="E530" s="225"/>
      <c r="F530" s="225"/>
      <c r="G530" s="225"/>
      <c r="H530" s="227">
        <v>8</v>
      </c>
      <c r="I530" s="228" t="s">
        <v>58</v>
      </c>
      <c r="J530" s="228" t="s">
        <v>8</v>
      </c>
      <c r="K530" s="228" t="s">
        <v>27</v>
      </c>
      <c r="M530" s="228"/>
      <c r="N530" s="231"/>
      <c r="O530" s="232"/>
    </row>
    <row r="531" spans="2:15" ht="20.100000000000001" customHeight="1" x14ac:dyDescent="0.3">
      <c r="B531" s="233"/>
      <c r="C531" s="233"/>
      <c r="D531" s="60"/>
      <c r="E531" s="225"/>
      <c r="F531" s="225"/>
      <c r="G531" s="225"/>
      <c r="H531" s="227"/>
      <c r="I531" s="228"/>
      <c r="J531" s="228"/>
      <c r="K531" s="228"/>
      <c r="M531" s="228"/>
      <c r="N531" s="231"/>
      <c r="O531" s="232"/>
    </row>
    <row r="532" spans="2:15" ht="20.100000000000001" customHeight="1" x14ac:dyDescent="0.3">
      <c r="B532" s="231"/>
      <c r="C532" s="231"/>
      <c r="D532" s="225"/>
      <c r="E532" s="225"/>
      <c r="F532" s="225"/>
      <c r="G532" s="225"/>
      <c r="H532" s="227"/>
      <c r="I532" s="228"/>
      <c r="J532" s="228"/>
      <c r="K532" s="231" t="s">
        <v>13</v>
      </c>
      <c r="L532" s="220"/>
      <c r="M532" s="228" t="s">
        <v>10</v>
      </c>
      <c r="N532" s="231" t="s">
        <v>27</v>
      </c>
      <c r="O532" s="235">
        <f>SUM(O527:O529)</f>
        <v>139548</v>
      </c>
    </row>
    <row r="533" spans="2:15" ht="20.100000000000001" customHeight="1" x14ac:dyDescent="0.3">
      <c r="B533" s="55"/>
      <c r="C533" s="55" t="s">
        <v>518</v>
      </c>
      <c r="D533" s="56" t="s">
        <v>95</v>
      </c>
      <c r="E533" s="225"/>
      <c r="F533" s="225"/>
      <c r="G533" s="225"/>
      <c r="H533" s="227"/>
      <c r="I533" s="228"/>
      <c r="J533" s="228"/>
      <c r="K533" s="228"/>
      <c r="L533" s="220"/>
      <c r="M533" s="228"/>
      <c r="N533" s="231"/>
      <c r="O533" s="232"/>
    </row>
    <row r="534" spans="2:15" ht="20.100000000000001" customHeight="1" x14ac:dyDescent="0.3">
      <c r="B534" s="233"/>
      <c r="C534" s="233"/>
      <c r="D534" s="225" t="s">
        <v>17</v>
      </c>
      <c r="E534" s="225"/>
      <c r="F534" s="225"/>
      <c r="G534" s="225"/>
      <c r="H534" s="227">
        <v>0.25</v>
      </c>
      <c r="I534" s="228" t="s">
        <v>16</v>
      </c>
      <c r="J534" s="228" t="s">
        <v>8</v>
      </c>
      <c r="K534" s="228" t="s">
        <v>27</v>
      </c>
      <c r="L534" s="53">
        <f>VLOOKUP(D534,'UPah &amp; Bahan oke'!$D$9:$H$169,5,0)</f>
        <v>110000</v>
      </c>
      <c r="M534" s="228" t="s">
        <v>10</v>
      </c>
      <c r="N534" s="231" t="s">
        <v>27</v>
      </c>
      <c r="O534" s="232">
        <f>L534*H534</f>
        <v>27500</v>
      </c>
    </row>
    <row r="535" spans="2:15" ht="20.100000000000001" customHeight="1" x14ac:dyDescent="0.3">
      <c r="B535" s="233"/>
      <c r="C535" s="233"/>
      <c r="D535" s="225" t="s">
        <v>103</v>
      </c>
      <c r="E535" s="225"/>
      <c r="F535" s="225"/>
      <c r="G535" s="225"/>
      <c r="H535" s="227">
        <v>0.4</v>
      </c>
      <c r="I535" s="228" t="s">
        <v>16</v>
      </c>
      <c r="J535" s="228" t="s">
        <v>8</v>
      </c>
      <c r="K535" s="228" t="s">
        <v>27</v>
      </c>
      <c r="L535" s="53">
        <f>VLOOKUP(D535,'UPah &amp; Bahan oke'!$D$9:$H$169,5,0)</f>
        <v>153000</v>
      </c>
      <c r="M535" s="228" t="s">
        <v>10</v>
      </c>
      <c r="N535" s="231" t="s">
        <v>27</v>
      </c>
      <c r="O535" s="232">
        <f>L535*H535</f>
        <v>61200</v>
      </c>
    </row>
    <row r="536" spans="2:15" ht="20.100000000000001" customHeight="1" x14ac:dyDescent="0.3">
      <c r="B536" s="233"/>
      <c r="C536" s="233"/>
      <c r="D536" s="225" t="s">
        <v>93</v>
      </c>
      <c r="E536" s="225"/>
      <c r="F536" s="225"/>
      <c r="G536" s="225"/>
      <c r="H536" s="227">
        <v>0.04</v>
      </c>
      <c r="I536" s="228" t="s">
        <v>16</v>
      </c>
      <c r="J536" s="228" t="s">
        <v>8</v>
      </c>
      <c r="K536" s="228" t="s">
        <v>27</v>
      </c>
      <c r="L536" s="53">
        <f>VLOOKUP(D536,'UPah &amp; Bahan oke'!$D$9:$H$169,5,0)</f>
        <v>170000</v>
      </c>
      <c r="M536" s="228" t="s">
        <v>10</v>
      </c>
      <c r="N536" s="231" t="s">
        <v>27</v>
      </c>
      <c r="O536" s="232">
        <f>L536*H536</f>
        <v>6800</v>
      </c>
    </row>
    <row r="537" spans="2:15" ht="20.100000000000001" customHeight="1" x14ac:dyDescent="0.3">
      <c r="B537" s="233"/>
      <c r="C537" s="233"/>
      <c r="D537" s="225" t="s">
        <v>19</v>
      </c>
      <c r="E537" s="225"/>
      <c r="F537" s="225"/>
      <c r="G537" s="225"/>
      <c r="H537" s="227">
        <v>3.5000000000000003E-2</v>
      </c>
      <c r="I537" s="228" t="s">
        <v>16</v>
      </c>
      <c r="J537" s="228" t="s">
        <v>8</v>
      </c>
      <c r="K537" s="228" t="s">
        <v>27</v>
      </c>
      <c r="L537" s="53">
        <f>VLOOKUP(D537,'UPah &amp; Bahan oke'!$D$9:$H$169,5,0)</f>
        <v>150000</v>
      </c>
      <c r="M537" s="228" t="s">
        <v>10</v>
      </c>
      <c r="N537" s="231" t="s">
        <v>27</v>
      </c>
      <c r="O537" s="232">
        <f>L537*H537</f>
        <v>5250.0000000000009</v>
      </c>
    </row>
    <row r="538" spans="2:15" ht="20.100000000000001" customHeight="1" x14ac:dyDescent="0.3">
      <c r="B538" s="231"/>
      <c r="C538" s="231"/>
      <c r="D538" s="225"/>
      <c r="E538" s="225"/>
      <c r="F538" s="225"/>
      <c r="G538" s="225"/>
      <c r="H538" s="227"/>
      <c r="I538" s="228"/>
      <c r="J538" s="228"/>
      <c r="K538" s="231" t="s">
        <v>20</v>
      </c>
      <c r="L538" s="220"/>
      <c r="M538" s="228" t="s">
        <v>10</v>
      </c>
      <c r="N538" s="231" t="s">
        <v>27</v>
      </c>
      <c r="O538" s="235">
        <f>SUM(O534:O537)</f>
        <v>100750</v>
      </c>
    </row>
    <row r="539" spans="2:15" ht="20.100000000000001" customHeight="1" x14ac:dyDescent="0.3">
      <c r="B539" s="231"/>
      <c r="C539" s="231"/>
      <c r="D539" s="225"/>
      <c r="E539" s="225"/>
      <c r="F539" s="225"/>
      <c r="G539" s="225"/>
      <c r="H539" s="227"/>
      <c r="I539" s="228"/>
      <c r="J539" s="228"/>
      <c r="K539" s="231" t="s">
        <v>21</v>
      </c>
      <c r="L539" s="220"/>
      <c r="M539" s="228" t="s">
        <v>10</v>
      </c>
      <c r="N539" s="231" t="s">
        <v>27</v>
      </c>
      <c r="O539" s="236">
        <f>O538+O532</f>
        <v>240298</v>
      </c>
    </row>
    <row r="540" spans="2:15" ht="20.100000000000001" customHeight="1" x14ac:dyDescent="0.3">
      <c r="B540" s="67"/>
      <c r="C540" s="67"/>
      <c r="H540" s="57"/>
      <c r="I540" s="65"/>
      <c r="J540" s="65"/>
      <c r="K540" s="67"/>
      <c r="M540" s="65"/>
      <c r="N540" s="67"/>
      <c r="O540" s="86"/>
    </row>
    <row r="541" spans="2:15" ht="13.5" customHeight="1" x14ac:dyDescent="0.3">
      <c r="B541" s="55"/>
      <c r="C541" s="87"/>
      <c r="D541" s="56"/>
      <c r="E541" s="217"/>
      <c r="F541" s="225"/>
      <c r="G541" s="227"/>
      <c r="H541" s="228"/>
      <c r="I541" s="228"/>
      <c r="J541" s="228"/>
      <c r="K541" s="229"/>
      <c r="L541" s="230"/>
      <c r="M541" s="231"/>
      <c r="N541" s="232"/>
      <c r="O541" s="220"/>
    </row>
    <row r="542" spans="2:15" ht="20.100000000000001" customHeight="1" x14ac:dyDescent="0.3">
      <c r="B542" s="55" t="s">
        <v>441</v>
      </c>
      <c r="C542" s="87" t="s">
        <v>448</v>
      </c>
      <c r="D542" s="56" t="s">
        <v>350</v>
      </c>
      <c r="E542" s="217" t="s">
        <v>454</v>
      </c>
      <c r="F542" s="225"/>
      <c r="G542" s="227"/>
      <c r="H542" s="228"/>
      <c r="I542" s="228"/>
      <c r="J542" s="228"/>
      <c r="K542" s="229"/>
      <c r="L542" s="230"/>
      <c r="M542" s="231"/>
      <c r="N542" s="232"/>
      <c r="O542" s="220"/>
    </row>
    <row r="543" spans="2:15" ht="20.100000000000001" customHeight="1" x14ac:dyDescent="0.3">
      <c r="B543" s="55"/>
      <c r="C543" s="55" t="s">
        <v>449</v>
      </c>
      <c r="D543" s="56" t="s">
        <v>94</v>
      </c>
      <c r="E543" s="225"/>
      <c r="F543" s="225"/>
      <c r="G543" s="227"/>
      <c r="H543" s="228"/>
      <c r="I543" s="228"/>
      <c r="J543" s="228"/>
      <c r="K543" s="229"/>
      <c r="L543" s="230"/>
      <c r="M543" s="231"/>
      <c r="N543" s="232"/>
      <c r="O543" s="220"/>
    </row>
    <row r="544" spans="2:15" ht="20.100000000000001" customHeight="1" x14ac:dyDescent="0.3">
      <c r="B544" s="233"/>
      <c r="C544" s="233" t="s">
        <v>29</v>
      </c>
      <c r="D544" s="225" t="s">
        <v>164</v>
      </c>
      <c r="E544" s="225"/>
      <c r="F544" s="225"/>
      <c r="G544" s="225"/>
      <c r="H544" s="234">
        <v>1.0999999999999999E-2</v>
      </c>
      <c r="I544" s="228" t="s">
        <v>7</v>
      </c>
      <c r="J544" s="228" t="s">
        <v>8</v>
      </c>
      <c r="K544" s="228" t="s">
        <v>27</v>
      </c>
      <c r="L544" s="53">
        <f>VLOOKUP(D544,'UPah &amp; Bahan oke'!$D$9:$H$169,5,0)</f>
        <v>6500000</v>
      </c>
      <c r="M544" s="228" t="s">
        <v>10</v>
      </c>
      <c r="N544" s="231" t="s">
        <v>27</v>
      </c>
      <c r="O544" s="232">
        <f>L544*H544</f>
        <v>71500</v>
      </c>
    </row>
    <row r="545" spans="2:15" ht="20.100000000000001" customHeight="1" x14ac:dyDescent="0.3">
      <c r="B545" s="233"/>
      <c r="C545" s="233" t="s">
        <v>29</v>
      </c>
      <c r="D545" s="60" t="s">
        <v>442</v>
      </c>
      <c r="E545" s="225"/>
      <c r="F545" s="225"/>
      <c r="G545" s="225"/>
      <c r="H545" s="227">
        <v>0.1</v>
      </c>
      <c r="I545" s="228" t="s">
        <v>12</v>
      </c>
      <c r="J545" s="228" t="s">
        <v>8</v>
      </c>
      <c r="K545" s="228" t="s">
        <v>27</v>
      </c>
      <c r="L545" s="53">
        <f>VLOOKUP(D545,'UPah &amp; Bahan oke'!$D$9:$H$169,5,0)</f>
        <v>20000</v>
      </c>
      <c r="M545" s="228" t="s">
        <v>10</v>
      </c>
      <c r="N545" s="231" t="s">
        <v>27</v>
      </c>
      <c r="O545" s="232">
        <f>L545*H545</f>
        <v>2000</v>
      </c>
    </row>
    <row r="546" spans="2:15" ht="20.100000000000001" customHeight="1" x14ac:dyDescent="0.3">
      <c r="B546" s="231"/>
      <c r="C546" s="231"/>
      <c r="D546" s="225"/>
      <c r="E546" s="225"/>
      <c r="F546" s="225"/>
      <c r="G546" s="225"/>
      <c r="H546" s="227"/>
      <c r="I546" s="228"/>
      <c r="J546" s="228"/>
      <c r="K546" s="231" t="s">
        <v>13</v>
      </c>
      <c r="L546" s="220"/>
      <c r="M546" s="228" t="s">
        <v>10</v>
      </c>
      <c r="N546" s="231" t="s">
        <v>27</v>
      </c>
      <c r="O546" s="235">
        <f>SUM(O544:O545)</f>
        <v>73500</v>
      </c>
    </row>
    <row r="547" spans="2:15" ht="20.100000000000001" customHeight="1" x14ac:dyDescent="0.3">
      <c r="B547" s="55"/>
      <c r="C547" s="55" t="s">
        <v>450</v>
      </c>
      <c r="D547" s="56" t="s">
        <v>95</v>
      </c>
      <c r="E547" s="225"/>
      <c r="F547" s="225"/>
      <c r="G547" s="225"/>
      <c r="H547" s="227"/>
      <c r="I547" s="228"/>
      <c r="J547" s="228"/>
      <c r="K547" s="228"/>
      <c r="L547" s="220"/>
      <c r="M547" s="228"/>
      <c r="N547" s="231"/>
      <c r="O547" s="232"/>
    </row>
    <row r="548" spans="2:15" ht="20.100000000000001" customHeight="1" x14ac:dyDescent="0.3">
      <c r="B548" s="233"/>
      <c r="C548" s="233"/>
      <c r="D548" s="225" t="s">
        <v>17</v>
      </c>
      <c r="E548" s="225"/>
      <c r="F548" s="225"/>
      <c r="G548" s="225"/>
      <c r="H548" s="227">
        <v>0.1</v>
      </c>
      <c r="I548" s="228" t="s">
        <v>16</v>
      </c>
      <c r="J548" s="228" t="s">
        <v>8</v>
      </c>
      <c r="K548" s="228" t="s">
        <v>27</v>
      </c>
      <c r="L548" s="53">
        <f>VLOOKUP(D548,'UPah &amp; Bahan oke'!$D$9:$H$169,5,0)</f>
        <v>110000</v>
      </c>
      <c r="M548" s="228" t="s">
        <v>10</v>
      </c>
      <c r="N548" s="231" t="s">
        <v>27</v>
      </c>
      <c r="O548" s="232">
        <f>L548*H548</f>
        <v>11000</v>
      </c>
    </row>
    <row r="549" spans="2:15" ht="20.100000000000001" customHeight="1" x14ac:dyDescent="0.3">
      <c r="B549" s="233"/>
      <c r="C549" s="233"/>
      <c r="D549" s="225" t="s">
        <v>103</v>
      </c>
      <c r="E549" s="225"/>
      <c r="F549" s="225"/>
      <c r="G549" s="225"/>
      <c r="H549" s="227">
        <v>0.2</v>
      </c>
      <c r="I549" s="228" t="s">
        <v>16</v>
      </c>
      <c r="J549" s="228" t="s">
        <v>8</v>
      </c>
      <c r="K549" s="228" t="s">
        <v>27</v>
      </c>
      <c r="L549" s="53">
        <f>VLOOKUP(D549,'UPah &amp; Bahan oke'!$D$9:$H$169,5,0)</f>
        <v>153000</v>
      </c>
      <c r="M549" s="228" t="s">
        <v>10</v>
      </c>
      <c r="N549" s="231" t="s">
        <v>27</v>
      </c>
      <c r="O549" s="232">
        <f>L549*H549</f>
        <v>30600</v>
      </c>
    </row>
    <row r="550" spans="2:15" ht="20.100000000000001" customHeight="1" x14ac:dyDescent="0.3">
      <c r="B550" s="233"/>
      <c r="C550" s="233"/>
      <c r="D550" s="225" t="s">
        <v>93</v>
      </c>
      <c r="E550" s="225"/>
      <c r="F550" s="225"/>
      <c r="G550" s="225"/>
      <c r="H550" s="227">
        <v>0.02</v>
      </c>
      <c r="I550" s="228" t="s">
        <v>16</v>
      </c>
      <c r="J550" s="228" t="s">
        <v>8</v>
      </c>
      <c r="K550" s="228" t="s">
        <v>27</v>
      </c>
      <c r="L550" s="53">
        <f>VLOOKUP(D550,'UPah &amp; Bahan oke'!$D$9:$H$169,5,0)</f>
        <v>170000</v>
      </c>
      <c r="M550" s="228" t="s">
        <v>10</v>
      </c>
      <c r="N550" s="231" t="s">
        <v>27</v>
      </c>
      <c r="O550" s="232">
        <f>L550*H550</f>
        <v>3400</v>
      </c>
    </row>
    <row r="551" spans="2:15" ht="20.100000000000001" customHeight="1" x14ac:dyDescent="0.3">
      <c r="B551" s="233"/>
      <c r="C551" s="233"/>
      <c r="D551" s="225" t="s">
        <v>19</v>
      </c>
      <c r="E551" s="225"/>
      <c r="F551" s="225"/>
      <c r="G551" s="225"/>
      <c r="H551" s="227">
        <v>5.0000000000000001E-3</v>
      </c>
      <c r="I551" s="228" t="s">
        <v>16</v>
      </c>
      <c r="J551" s="228" t="s">
        <v>8</v>
      </c>
      <c r="K551" s="228" t="s">
        <v>27</v>
      </c>
      <c r="L551" s="53">
        <f>VLOOKUP(D551,'UPah &amp; Bahan oke'!$D$9:$H$169,5,0)</f>
        <v>150000</v>
      </c>
      <c r="M551" s="228" t="s">
        <v>10</v>
      </c>
      <c r="N551" s="231" t="s">
        <v>27</v>
      </c>
      <c r="O551" s="232">
        <f>L551*H551</f>
        <v>750</v>
      </c>
    </row>
    <row r="552" spans="2:15" ht="20.100000000000001" customHeight="1" x14ac:dyDescent="0.3">
      <c r="B552" s="231"/>
      <c r="C552" s="231"/>
      <c r="D552" s="225"/>
      <c r="E552" s="225"/>
      <c r="F552" s="225"/>
      <c r="G552" s="225"/>
      <c r="H552" s="227"/>
      <c r="I552" s="228"/>
      <c r="J552" s="228"/>
      <c r="K552" s="231" t="s">
        <v>20</v>
      </c>
      <c r="L552" s="220"/>
      <c r="M552" s="228" t="s">
        <v>10</v>
      </c>
      <c r="N552" s="231" t="s">
        <v>27</v>
      </c>
      <c r="O552" s="235">
        <f>SUM(O548:O551)</f>
        <v>45750</v>
      </c>
    </row>
    <row r="553" spans="2:15" ht="20.100000000000001" customHeight="1" x14ac:dyDescent="0.3">
      <c r="B553" s="231"/>
      <c r="C553" s="231"/>
      <c r="D553" s="225"/>
      <c r="E553" s="225"/>
      <c r="F553" s="225"/>
      <c r="G553" s="225"/>
      <c r="H553" s="227"/>
      <c r="I553" s="228"/>
      <c r="J553" s="228"/>
      <c r="K553" s="231" t="s">
        <v>21</v>
      </c>
      <c r="L553" s="220"/>
      <c r="M553" s="228" t="s">
        <v>10</v>
      </c>
      <c r="N553" s="231" t="s">
        <v>27</v>
      </c>
      <c r="O553" s="236">
        <f>O552+O546</f>
        <v>119250</v>
      </c>
    </row>
    <row r="554" spans="2:15" ht="11.25" customHeight="1" x14ac:dyDescent="0.3">
      <c r="B554" s="67"/>
      <c r="C554" s="67"/>
      <c r="H554" s="57"/>
      <c r="I554" s="65"/>
      <c r="J554" s="65"/>
      <c r="K554" s="67"/>
      <c r="M554" s="65"/>
      <c r="N554" s="67"/>
      <c r="O554" s="86"/>
    </row>
    <row r="555" spans="2:15" ht="20.100000000000001" customHeight="1" x14ac:dyDescent="0.3">
      <c r="B555" s="91" t="s">
        <v>98</v>
      </c>
      <c r="C555" s="67"/>
      <c r="H555" s="57"/>
      <c r="I555" s="65"/>
      <c r="J555" s="65"/>
      <c r="K555" s="67"/>
      <c r="M555" s="65"/>
      <c r="N555" s="67"/>
    </row>
    <row r="556" spans="2:15" ht="20.100000000000001" customHeight="1" x14ac:dyDescent="0.3">
      <c r="B556" s="55" t="s">
        <v>96</v>
      </c>
      <c r="C556" s="55" t="s">
        <v>334</v>
      </c>
      <c r="D556" s="56" t="s">
        <v>358</v>
      </c>
      <c r="E556" s="56" t="s">
        <v>439</v>
      </c>
      <c r="F556" s="56"/>
      <c r="G556" s="56"/>
      <c r="J556" s="65"/>
      <c r="K556" s="65"/>
      <c r="M556" s="65"/>
      <c r="N556" s="65"/>
      <c r="O556" s="80"/>
    </row>
    <row r="557" spans="2:15" ht="20.100000000000001" customHeight="1" x14ac:dyDescent="0.3">
      <c r="B557" s="56"/>
      <c r="C557" s="56" t="s">
        <v>70</v>
      </c>
      <c r="D557" s="56" t="s">
        <v>94</v>
      </c>
      <c r="E557" s="56"/>
      <c r="J557" s="65"/>
      <c r="K557" s="65"/>
      <c r="M557" s="65"/>
      <c r="N557" s="65"/>
      <c r="O557" s="80"/>
    </row>
    <row r="558" spans="2:15" ht="20.100000000000001" customHeight="1" x14ac:dyDescent="0.3">
      <c r="B558" s="59"/>
      <c r="C558" s="59"/>
      <c r="D558" s="60" t="s">
        <v>440</v>
      </c>
      <c r="H558" s="57">
        <v>0.05</v>
      </c>
      <c r="I558" s="52" t="s">
        <v>12</v>
      </c>
      <c r="J558" s="65" t="s">
        <v>8</v>
      </c>
      <c r="K558" s="65" t="s">
        <v>27</v>
      </c>
      <c r="L558" s="53">
        <f>VLOOKUP(D558,'UPah &amp; Bahan oke'!$D$9:$H$169,5,0)</f>
        <v>20000</v>
      </c>
      <c r="M558" s="65" t="s">
        <v>10</v>
      </c>
      <c r="N558" s="65" t="s">
        <v>27</v>
      </c>
      <c r="O558" s="80">
        <f>L558*H558</f>
        <v>1000</v>
      </c>
    </row>
    <row r="559" spans="2:15" ht="20.100000000000001" customHeight="1" x14ac:dyDescent="0.3">
      <c r="F559" s="52" t="s">
        <v>29</v>
      </c>
      <c r="G559" s="52" t="s">
        <v>29</v>
      </c>
      <c r="J559" s="65"/>
      <c r="K559" s="67" t="s">
        <v>13</v>
      </c>
      <c r="M559" s="65" t="s">
        <v>10</v>
      </c>
      <c r="N559" s="65" t="s">
        <v>27</v>
      </c>
      <c r="O559" s="90">
        <f>SUM(O558:O558)</f>
        <v>1000</v>
      </c>
    </row>
    <row r="560" spans="2:15" ht="20.100000000000001" customHeight="1" x14ac:dyDescent="0.3">
      <c r="B560" s="56"/>
      <c r="C560" s="56" t="s">
        <v>438</v>
      </c>
      <c r="D560" s="56" t="s">
        <v>95</v>
      </c>
      <c r="E560" s="56"/>
      <c r="F560" s="56"/>
      <c r="J560" s="65"/>
      <c r="K560" s="65"/>
      <c r="M560" s="65"/>
      <c r="N560" s="65"/>
      <c r="O560" s="80"/>
    </row>
    <row r="561" spans="2:15" ht="20.100000000000001" customHeight="1" x14ac:dyDescent="0.3">
      <c r="B561" s="59"/>
      <c r="C561" s="59"/>
      <c r="D561" s="52" t="s">
        <v>17</v>
      </c>
      <c r="G561" s="52" t="s">
        <v>29</v>
      </c>
      <c r="H561" s="57">
        <v>0.15</v>
      </c>
      <c r="I561" s="52" t="s">
        <v>16</v>
      </c>
      <c r="J561" s="65" t="s">
        <v>8</v>
      </c>
      <c r="K561" s="65" t="s">
        <v>27</v>
      </c>
      <c r="L561" s="53">
        <f>VLOOKUP(D561,'UPah &amp; Bahan oke'!$D$9:$H$169,5,0)</f>
        <v>110000</v>
      </c>
      <c r="M561" s="65" t="s">
        <v>10</v>
      </c>
      <c r="N561" s="65" t="s">
        <v>27</v>
      </c>
      <c r="O561" s="80">
        <f>+L561*H561</f>
        <v>16500</v>
      </c>
    </row>
    <row r="562" spans="2:15" ht="20.100000000000001" customHeight="1" x14ac:dyDescent="0.3">
      <c r="B562" s="59"/>
      <c r="C562" s="59"/>
      <c r="D562" s="52" t="s">
        <v>19</v>
      </c>
      <c r="H562" s="52">
        <v>2.5000000000000001E-3</v>
      </c>
      <c r="I562" s="52" t="s">
        <v>16</v>
      </c>
      <c r="J562" s="65" t="s">
        <v>8</v>
      </c>
      <c r="K562" s="65" t="s">
        <v>27</v>
      </c>
      <c r="L562" s="53">
        <f>VLOOKUP(D562,'UPah &amp; Bahan oke'!$D$9:$H$169,5,0)</f>
        <v>150000</v>
      </c>
      <c r="M562" s="65" t="s">
        <v>10</v>
      </c>
      <c r="N562" s="65" t="s">
        <v>27</v>
      </c>
      <c r="O562" s="80">
        <f>+L562*H562</f>
        <v>375</v>
      </c>
    </row>
    <row r="563" spans="2:15" ht="20.100000000000001" customHeight="1" x14ac:dyDescent="0.3">
      <c r="J563" s="65"/>
      <c r="K563" s="67" t="s">
        <v>20</v>
      </c>
      <c r="M563" s="65" t="s">
        <v>10</v>
      </c>
      <c r="N563" s="65" t="s">
        <v>27</v>
      </c>
      <c r="O563" s="92">
        <f>SUM(O561:O562)</f>
        <v>16875</v>
      </c>
    </row>
    <row r="564" spans="2:15" ht="20.100000000000001" customHeight="1" x14ac:dyDescent="0.3">
      <c r="J564" s="65"/>
      <c r="K564" s="67" t="s">
        <v>21</v>
      </c>
      <c r="M564" s="65" t="s">
        <v>10</v>
      </c>
      <c r="N564" s="65" t="s">
        <v>27</v>
      </c>
      <c r="O564" s="127">
        <f>O563+O559</f>
        <v>17875</v>
      </c>
    </row>
    <row r="565" spans="2:15" ht="11.25" customHeight="1" x14ac:dyDescent="0.3">
      <c r="B565" s="91"/>
      <c r="C565" s="67"/>
      <c r="H565" s="57"/>
      <c r="I565" s="65"/>
      <c r="J565" s="65"/>
      <c r="K565" s="67"/>
      <c r="M565" s="65"/>
      <c r="N565" s="67"/>
    </row>
    <row r="566" spans="2:15" ht="20.100000000000001" customHeight="1" x14ac:dyDescent="0.3">
      <c r="B566" s="55" t="s">
        <v>96</v>
      </c>
      <c r="C566" s="55" t="s">
        <v>337</v>
      </c>
      <c r="D566" s="56" t="s">
        <v>358</v>
      </c>
      <c r="E566" s="56" t="s">
        <v>433</v>
      </c>
      <c r="F566" s="56"/>
      <c r="G566" s="56"/>
      <c r="J566" s="65"/>
      <c r="K566" s="65"/>
      <c r="M566" s="65"/>
      <c r="N566" s="65"/>
      <c r="O566" s="80"/>
    </row>
    <row r="567" spans="2:15" ht="20.100000000000001" customHeight="1" x14ac:dyDescent="0.3">
      <c r="B567" s="56"/>
      <c r="C567" s="56" t="s">
        <v>262</v>
      </c>
      <c r="D567" s="56" t="s">
        <v>94</v>
      </c>
      <c r="E567" s="56"/>
      <c r="J567" s="65"/>
      <c r="K567" s="65"/>
      <c r="M567" s="65"/>
      <c r="N567" s="65"/>
      <c r="O567" s="80"/>
    </row>
    <row r="568" spans="2:15" ht="20.100000000000001" customHeight="1" x14ac:dyDescent="0.3">
      <c r="B568" s="59"/>
      <c r="C568" s="59"/>
      <c r="D568" s="60" t="s">
        <v>111</v>
      </c>
      <c r="H568" s="57">
        <v>0.15</v>
      </c>
      <c r="I568" s="52" t="s">
        <v>12</v>
      </c>
      <c r="J568" s="65" t="s">
        <v>8</v>
      </c>
      <c r="K568" s="65" t="s">
        <v>27</v>
      </c>
      <c r="L568" s="53">
        <f>VLOOKUP(D568,'UPah &amp; Bahan oke'!$D$9:$H$169,5,0)</f>
        <v>25000</v>
      </c>
      <c r="M568" s="65" t="s">
        <v>10</v>
      </c>
      <c r="N568" s="65" t="s">
        <v>27</v>
      </c>
      <c r="O568" s="80">
        <f>L568*H568</f>
        <v>3750</v>
      </c>
    </row>
    <row r="569" spans="2:15" ht="20.100000000000001" hidden="1" customHeight="1" x14ac:dyDescent="0.3">
      <c r="B569" s="59"/>
      <c r="C569" s="59"/>
      <c r="D569" s="60" t="s">
        <v>115</v>
      </c>
      <c r="H569" s="57">
        <v>0.17</v>
      </c>
      <c r="I569" s="52" t="s">
        <v>12</v>
      </c>
      <c r="J569" s="65" t="s">
        <v>8</v>
      </c>
      <c r="K569" s="65" t="s">
        <v>27</v>
      </c>
      <c r="L569" s="53">
        <f>VLOOKUP(D569,'UPah &amp; Bahan oke'!$D$9:$H$169,5,0)</f>
        <v>40739</v>
      </c>
      <c r="M569" s="65" t="s">
        <v>10</v>
      </c>
      <c r="N569" s="65" t="s">
        <v>27</v>
      </c>
      <c r="O569" s="80">
        <f>L569*H569</f>
        <v>6925.63</v>
      </c>
    </row>
    <row r="570" spans="2:15" ht="20.100000000000001" hidden="1" customHeight="1" x14ac:dyDescent="0.3">
      <c r="B570" s="59"/>
      <c r="C570" s="59"/>
      <c r="D570" s="60" t="s">
        <v>288</v>
      </c>
      <c r="H570" s="57">
        <v>0.17</v>
      </c>
      <c r="I570" s="52" t="s">
        <v>12</v>
      </c>
      <c r="J570" s="65" t="s">
        <v>8</v>
      </c>
      <c r="K570" s="65" t="s">
        <v>27</v>
      </c>
      <c r="L570" s="53">
        <f>VLOOKUP(D570,'UPah &amp; Bahan oke'!$D$9:$H$169,5,0)</f>
        <v>79000</v>
      </c>
      <c r="M570" s="65" t="s">
        <v>10</v>
      </c>
      <c r="N570" s="65" t="s">
        <v>27</v>
      </c>
      <c r="O570" s="80">
        <f>L570*H570</f>
        <v>13430.000000000002</v>
      </c>
    </row>
    <row r="571" spans="2:15" ht="20.100000000000001" hidden="1" customHeight="1" x14ac:dyDescent="0.3">
      <c r="F571" s="52" t="s">
        <v>29</v>
      </c>
      <c r="G571" s="52" t="s">
        <v>29</v>
      </c>
      <c r="J571" s="65"/>
      <c r="K571" s="67" t="s">
        <v>13</v>
      </c>
      <c r="M571" s="65" t="s">
        <v>10</v>
      </c>
      <c r="N571" s="65" t="s">
        <v>27</v>
      </c>
      <c r="O571" s="90">
        <f>SUM(O568:O570)</f>
        <v>24105.630000000005</v>
      </c>
    </row>
    <row r="572" spans="2:15" ht="20.100000000000001" hidden="1" customHeight="1" x14ac:dyDescent="0.3">
      <c r="B572" s="56"/>
      <c r="C572" s="56" t="s">
        <v>61</v>
      </c>
      <c r="D572" s="56" t="s">
        <v>95</v>
      </c>
      <c r="E572" s="56"/>
      <c r="F572" s="56"/>
      <c r="J572" s="65"/>
      <c r="K572" s="65"/>
      <c r="M572" s="65"/>
      <c r="N572" s="65"/>
      <c r="O572" s="80"/>
    </row>
    <row r="573" spans="2:15" ht="20.100000000000001" hidden="1" customHeight="1" x14ac:dyDescent="0.3">
      <c r="B573" s="59"/>
      <c r="C573" s="59"/>
      <c r="D573" s="52" t="s">
        <v>17</v>
      </c>
      <c r="G573" s="52" t="s">
        <v>29</v>
      </c>
      <c r="H573" s="57">
        <v>7.0000000000000007E-2</v>
      </c>
      <c r="I573" s="52" t="s">
        <v>16</v>
      </c>
      <c r="J573" s="65" t="s">
        <v>8</v>
      </c>
      <c r="K573" s="65" t="s">
        <v>27</v>
      </c>
      <c r="L573" s="53">
        <f>VLOOKUP(D573,'UPah &amp; Bahan oke'!$D$9:$H$169,5,0)</f>
        <v>110000</v>
      </c>
      <c r="M573" s="65" t="s">
        <v>10</v>
      </c>
      <c r="N573" s="65" t="s">
        <v>27</v>
      </c>
      <c r="O573" s="80">
        <f>+L573*H573</f>
        <v>7700.0000000000009</v>
      </c>
    </row>
    <row r="574" spans="2:15" ht="20.100000000000001" hidden="1" customHeight="1" x14ac:dyDescent="0.3">
      <c r="B574" s="59"/>
      <c r="C574" s="59"/>
      <c r="D574" s="52" t="s">
        <v>103</v>
      </c>
      <c r="H574" s="57">
        <v>7.4999999999999997E-2</v>
      </c>
      <c r="I574" s="52" t="s">
        <v>16</v>
      </c>
      <c r="J574" s="65" t="s">
        <v>8</v>
      </c>
      <c r="K574" s="65" t="s">
        <v>27</v>
      </c>
      <c r="L574" s="53">
        <f>VLOOKUP(D574,'UPah &amp; Bahan oke'!$D$9:$H$169,5,0)</f>
        <v>153000</v>
      </c>
      <c r="M574" s="65" t="s">
        <v>10</v>
      </c>
      <c r="N574" s="65" t="s">
        <v>27</v>
      </c>
      <c r="O574" s="80">
        <f>+L574*H574</f>
        <v>11475</v>
      </c>
    </row>
    <row r="575" spans="2:15" ht="20.100000000000001" hidden="1" customHeight="1" x14ac:dyDescent="0.3">
      <c r="B575" s="59"/>
      <c r="C575" s="59"/>
      <c r="D575" s="52" t="s">
        <v>18</v>
      </c>
      <c r="H575" s="96">
        <v>7.4999999999999997E-3</v>
      </c>
      <c r="I575" s="52" t="s">
        <v>16</v>
      </c>
      <c r="J575" s="65" t="s">
        <v>8</v>
      </c>
      <c r="K575" s="65" t="s">
        <v>27</v>
      </c>
      <c r="L575" s="53">
        <f>VLOOKUP(D575,'UPah &amp; Bahan oke'!$D$9:$H$169,5,0)</f>
        <v>170000</v>
      </c>
      <c r="M575" s="65" t="s">
        <v>10</v>
      </c>
      <c r="N575" s="65" t="s">
        <v>27</v>
      </c>
      <c r="O575" s="80">
        <f>+L575*H575</f>
        <v>1275</v>
      </c>
    </row>
    <row r="576" spans="2:15" ht="20.100000000000001" hidden="1" customHeight="1" x14ac:dyDescent="0.3">
      <c r="B576" s="59"/>
      <c r="C576" s="59"/>
      <c r="D576" s="52" t="s">
        <v>19</v>
      </c>
      <c r="H576" s="52">
        <v>2.5000000000000001E-3</v>
      </c>
      <c r="I576" s="52" t="s">
        <v>16</v>
      </c>
      <c r="J576" s="65" t="s">
        <v>8</v>
      </c>
      <c r="K576" s="65" t="s">
        <v>27</v>
      </c>
      <c r="L576" s="53">
        <f>VLOOKUP(D576,'UPah &amp; Bahan oke'!$D$9:$H$169,5,0)</f>
        <v>150000</v>
      </c>
      <c r="M576" s="65" t="s">
        <v>10</v>
      </c>
      <c r="N576" s="65" t="s">
        <v>27</v>
      </c>
      <c r="O576" s="80">
        <f>+L576*H576</f>
        <v>375</v>
      </c>
    </row>
    <row r="577" spans="2:15" ht="20.100000000000001" hidden="1" customHeight="1" x14ac:dyDescent="0.3">
      <c r="J577" s="65"/>
      <c r="K577" s="67" t="s">
        <v>20</v>
      </c>
      <c r="M577" s="65" t="s">
        <v>10</v>
      </c>
      <c r="N577" s="65" t="s">
        <v>27</v>
      </c>
      <c r="O577" s="92">
        <f>SUM(O573:O576)</f>
        <v>20825</v>
      </c>
    </row>
    <row r="578" spans="2:15" ht="20.100000000000001" hidden="1" customHeight="1" x14ac:dyDescent="0.3">
      <c r="J578" s="65"/>
      <c r="K578" s="67" t="s">
        <v>21</v>
      </c>
      <c r="M578" s="65" t="s">
        <v>10</v>
      </c>
      <c r="N578" s="65" t="s">
        <v>27</v>
      </c>
      <c r="O578" s="127">
        <f>O577+O571</f>
        <v>44930.630000000005</v>
      </c>
    </row>
    <row r="579" spans="2:15" ht="20.100000000000001" hidden="1" customHeight="1" x14ac:dyDescent="0.3">
      <c r="B579" s="91"/>
      <c r="C579" s="67"/>
      <c r="H579" s="57"/>
      <c r="I579" s="65"/>
      <c r="J579" s="65"/>
      <c r="K579" s="67"/>
      <c r="M579" s="65"/>
      <c r="N579" s="67"/>
    </row>
    <row r="580" spans="2:15" ht="20.100000000000001" hidden="1" customHeight="1" x14ac:dyDescent="0.3">
      <c r="B580" s="55" t="s">
        <v>96</v>
      </c>
      <c r="C580" s="55" t="s">
        <v>333</v>
      </c>
      <c r="D580" s="56" t="s">
        <v>358</v>
      </c>
      <c r="E580" s="56" t="s">
        <v>359</v>
      </c>
      <c r="F580" s="56"/>
      <c r="G580" s="56"/>
      <c r="J580" s="65"/>
      <c r="K580" s="65"/>
      <c r="M580" s="65"/>
      <c r="N580" s="65"/>
      <c r="O580" s="80"/>
    </row>
    <row r="581" spans="2:15" ht="20.100000000000001" hidden="1" customHeight="1" x14ac:dyDescent="0.3">
      <c r="B581" s="56"/>
      <c r="C581" s="56" t="s">
        <v>22</v>
      </c>
      <c r="D581" s="56" t="s">
        <v>94</v>
      </c>
      <c r="E581" s="56"/>
      <c r="J581" s="65"/>
      <c r="K581" s="65"/>
      <c r="M581" s="65"/>
      <c r="N581" s="65"/>
      <c r="O581" s="80"/>
    </row>
    <row r="582" spans="2:15" ht="20.100000000000001" hidden="1" customHeight="1" x14ac:dyDescent="0.3">
      <c r="B582" s="59"/>
      <c r="C582" s="59"/>
      <c r="D582" s="60" t="s">
        <v>218</v>
      </c>
      <c r="H582" s="57">
        <v>0.2</v>
      </c>
      <c r="I582" s="52" t="s">
        <v>12</v>
      </c>
      <c r="J582" s="65" t="s">
        <v>8</v>
      </c>
      <c r="K582" s="65" t="s">
        <v>27</v>
      </c>
      <c r="L582" s="53">
        <f>VLOOKUP(D582,'UPah &amp; Bahan oke'!$D$9:$H$169,5,0)</f>
        <v>29500</v>
      </c>
      <c r="M582" s="65" t="s">
        <v>10</v>
      </c>
      <c r="N582" s="65" t="s">
        <v>27</v>
      </c>
      <c r="O582" s="80">
        <f>L582*H582</f>
        <v>5900</v>
      </c>
    </row>
    <row r="583" spans="2:15" ht="20.100000000000001" hidden="1" customHeight="1" x14ac:dyDescent="0.3">
      <c r="B583" s="59"/>
      <c r="C583" s="59"/>
      <c r="D583" s="60" t="s">
        <v>111</v>
      </c>
      <c r="H583" s="57">
        <v>0.15</v>
      </c>
      <c r="I583" s="52" t="s">
        <v>12</v>
      </c>
      <c r="J583" s="65" t="s">
        <v>8</v>
      </c>
      <c r="K583" s="65" t="s">
        <v>27</v>
      </c>
      <c r="L583" s="53">
        <f>VLOOKUP(D583,'UPah &amp; Bahan oke'!$D$9:$H$169,5,0)</f>
        <v>25000</v>
      </c>
      <c r="M583" s="65" t="s">
        <v>10</v>
      </c>
      <c r="N583" s="65" t="s">
        <v>27</v>
      </c>
      <c r="O583" s="80">
        <f>L583*H583</f>
        <v>3750</v>
      </c>
    </row>
    <row r="584" spans="2:15" ht="20.100000000000001" hidden="1" customHeight="1" x14ac:dyDescent="0.3">
      <c r="B584" s="59"/>
      <c r="C584" s="59"/>
      <c r="D584" s="60" t="s">
        <v>115</v>
      </c>
      <c r="H584" s="57">
        <v>0.17</v>
      </c>
      <c r="I584" s="52" t="s">
        <v>12</v>
      </c>
      <c r="J584" s="65" t="s">
        <v>8</v>
      </c>
      <c r="K584" s="65" t="s">
        <v>27</v>
      </c>
      <c r="L584" s="53">
        <f>VLOOKUP(D584,'UPah &amp; Bahan oke'!$D$9:$H$169,5,0)</f>
        <v>40739</v>
      </c>
      <c r="M584" s="65" t="s">
        <v>10</v>
      </c>
      <c r="N584" s="65" t="s">
        <v>27</v>
      </c>
      <c r="O584" s="80">
        <f>L584*H584</f>
        <v>6925.63</v>
      </c>
    </row>
    <row r="585" spans="2:15" ht="20.100000000000001" hidden="1" customHeight="1" x14ac:dyDescent="0.3">
      <c r="B585" s="59"/>
      <c r="C585" s="59"/>
      <c r="D585" s="60" t="s">
        <v>288</v>
      </c>
      <c r="H585" s="57">
        <v>0.26</v>
      </c>
      <c r="I585" s="52" t="s">
        <v>12</v>
      </c>
      <c r="J585" s="65" t="s">
        <v>8</v>
      </c>
      <c r="K585" s="65" t="s">
        <v>27</v>
      </c>
      <c r="L585" s="53">
        <f>VLOOKUP(D585,'UPah &amp; Bahan oke'!$D$9:$H$169,5,0)</f>
        <v>79000</v>
      </c>
      <c r="M585" s="65" t="s">
        <v>10</v>
      </c>
      <c r="N585" s="65" t="s">
        <v>27</v>
      </c>
      <c r="O585" s="80">
        <f>L585*H585</f>
        <v>20540</v>
      </c>
    </row>
    <row r="586" spans="2:15" ht="20.100000000000001" hidden="1" customHeight="1" x14ac:dyDescent="0.3">
      <c r="F586" s="52" t="s">
        <v>29</v>
      </c>
      <c r="G586" s="52" t="s">
        <v>29</v>
      </c>
      <c r="J586" s="65"/>
      <c r="K586" s="67" t="s">
        <v>13</v>
      </c>
      <c r="M586" s="65" t="s">
        <v>10</v>
      </c>
      <c r="N586" s="65" t="s">
        <v>27</v>
      </c>
      <c r="O586" s="90">
        <f>SUM(O582:O585)</f>
        <v>37115.630000000005</v>
      </c>
    </row>
    <row r="587" spans="2:15" ht="20.100000000000001" hidden="1" customHeight="1" x14ac:dyDescent="0.3">
      <c r="B587" s="56"/>
      <c r="C587" s="56" t="s">
        <v>219</v>
      </c>
      <c r="D587" s="56" t="s">
        <v>95</v>
      </c>
      <c r="E587" s="56"/>
      <c r="F587" s="56"/>
      <c r="J587" s="65"/>
      <c r="K587" s="65"/>
      <c r="M587" s="65"/>
      <c r="N587" s="65"/>
      <c r="O587" s="80"/>
    </row>
    <row r="588" spans="2:15" ht="20.100000000000001" hidden="1" customHeight="1" x14ac:dyDescent="0.3">
      <c r="B588" s="59"/>
      <c r="C588" s="59"/>
      <c r="D588" s="52" t="s">
        <v>17</v>
      </c>
      <c r="G588" s="52" t="s">
        <v>29</v>
      </c>
      <c r="H588" s="57">
        <v>7.0000000000000007E-2</v>
      </c>
      <c r="I588" s="52" t="s">
        <v>16</v>
      </c>
      <c r="J588" s="65" t="s">
        <v>8</v>
      </c>
      <c r="K588" s="65" t="s">
        <v>27</v>
      </c>
      <c r="L588" s="53">
        <f>VLOOKUP(D588,'UPah &amp; Bahan oke'!$D$9:$H$169,5,0)</f>
        <v>110000</v>
      </c>
      <c r="M588" s="65" t="s">
        <v>10</v>
      </c>
      <c r="N588" s="65" t="s">
        <v>27</v>
      </c>
      <c r="O588" s="80">
        <f>+L588*H588</f>
        <v>7700.0000000000009</v>
      </c>
    </row>
    <row r="589" spans="2:15" ht="20.100000000000001" hidden="1" customHeight="1" x14ac:dyDescent="0.3">
      <c r="B589" s="59"/>
      <c r="C589" s="59"/>
      <c r="D589" s="52" t="s">
        <v>103</v>
      </c>
      <c r="H589" s="57">
        <v>0.09</v>
      </c>
      <c r="I589" s="52" t="s">
        <v>16</v>
      </c>
      <c r="J589" s="65" t="s">
        <v>8</v>
      </c>
      <c r="K589" s="65" t="s">
        <v>27</v>
      </c>
      <c r="L589" s="53">
        <f>VLOOKUP(D589,'UPah &amp; Bahan oke'!$D$9:$H$169,5,0)</f>
        <v>153000</v>
      </c>
      <c r="M589" s="65" t="s">
        <v>10</v>
      </c>
      <c r="N589" s="65" t="s">
        <v>27</v>
      </c>
      <c r="O589" s="80">
        <f>+L589*H589</f>
        <v>13770</v>
      </c>
    </row>
    <row r="590" spans="2:15" ht="20.100000000000001" hidden="1" customHeight="1" x14ac:dyDescent="0.3">
      <c r="B590" s="59"/>
      <c r="C590" s="59"/>
      <c r="D590" s="52" t="s">
        <v>18</v>
      </c>
      <c r="H590" s="57">
        <v>8.9999999999999993E-3</v>
      </c>
      <c r="I590" s="52" t="s">
        <v>16</v>
      </c>
      <c r="J590" s="65" t="s">
        <v>8</v>
      </c>
      <c r="K590" s="65" t="s">
        <v>27</v>
      </c>
      <c r="L590" s="53">
        <f>VLOOKUP(D590,'UPah &amp; Bahan oke'!$D$9:$H$169,5,0)</f>
        <v>170000</v>
      </c>
      <c r="M590" s="65" t="s">
        <v>10</v>
      </c>
      <c r="N590" s="65" t="s">
        <v>27</v>
      </c>
      <c r="O590" s="80">
        <f>+L590*H590</f>
        <v>1529.9999999999998</v>
      </c>
    </row>
    <row r="591" spans="2:15" ht="20.100000000000001" hidden="1" customHeight="1" x14ac:dyDescent="0.3">
      <c r="B591" s="59"/>
      <c r="C591" s="59"/>
      <c r="D591" s="52" t="s">
        <v>19</v>
      </c>
      <c r="H591" s="52">
        <v>2.5000000000000001E-3</v>
      </c>
      <c r="I591" s="52" t="s">
        <v>16</v>
      </c>
      <c r="J591" s="65" t="s">
        <v>8</v>
      </c>
      <c r="K591" s="65" t="s">
        <v>27</v>
      </c>
      <c r="L591" s="53">
        <f>VLOOKUP(D591,'UPah &amp; Bahan oke'!$D$9:$H$169,5,0)</f>
        <v>150000</v>
      </c>
      <c r="M591" s="65" t="s">
        <v>10</v>
      </c>
      <c r="N591" s="65" t="s">
        <v>27</v>
      </c>
      <c r="O591" s="80">
        <f>+L591*H591</f>
        <v>375</v>
      </c>
    </row>
    <row r="592" spans="2:15" ht="20.100000000000001" hidden="1" customHeight="1" x14ac:dyDescent="0.3">
      <c r="J592" s="65"/>
      <c r="K592" s="67" t="s">
        <v>20</v>
      </c>
      <c r="M592" s="65" t="s">
        <v>10</v>
      </c>
      <c r="N592" s="65" t="s">
        <v>27</v>
      </c>
      <c r="O592" s="92">
        <f>SUM(O588:O591)</f>
        <v>23375</v>
      </c>
    </row>
    <row r="593" spans="2:15" ht="19.5" customHeight="1" x14ac:dyDescent="0.3">
      <c r="J593" s="65"/>
      <c r="K593" s="67" t="s">
        <v>21</v>
      </c>
      <c r="M593" s="65" t="s">
        <v>10</v>
      </c>
      <c r="N593" s="65" t="s">
        <v>27</v>
      </c>
      <c r="O593" s="127">
        <f>O592+O586</f>
        <v>60490.630000000005</v>
      </c>
    </row>
    <row r="594" spans="2:15" ht="8.25" customHeight="1" x14ac:dyDescent="0.3">
      <c r="J594" s="65"/>
      <c r="K594" s="67"/>
      <c r="M594" s="65"/>
      <c r="N594" s="65"/>
      <c r="O594" s="80"/>
    </row>
    <row r="595" spans="2:15" ht="20.100000000000001" customHeight="1" x14ac:dyDescent="0.3">
      <c r="B595" s="55" t="s">
        <v>541</v>
      </c>
      <c r="C595" s="55"/>
      <c r="D595" s="56" t="s">
        <v>358</v>
      </c>
      <c r="E595" s="56" t="s">
        <v>360</v>
      </c>
      <c r="F595" s="56"/>
      <c r="G595" s="56"/>
      <c r="H595" s="56"/>
      <c r="I595" s="56"/>
      <c r="J595" s="98"/>
      <c r="K595" s="98"/>
      <c r="L595" s="99"/>
      <c r="M595" s="98"/>
      <c r="N595" s="98"/>
    </row>
    <row r="596" spans="2:15" ht="20.100000000000001" customHeight="1" x14ac:dyDescent="0.3">
      <c r="B596" s="56"/>
      <c r="C596" s="56" t="s">
        <v>114</v>
      </c>
      <c r="D596" s="56" t="s">
        <v>94</v>
      </c>
      <c r="E596" s="56"/>
      <c r="J596" s="65"/>
      <c r="K596" s="65"/>
      <c r="M596" s="65"/>
      <c r="N596" s="65"/>
    </row>
    <row r="597" spans="2:15" ht="20.100000000000001" customHeight="1" x14ac:dyDescent="0.3">
      <c r="B597" s="59"/>
      <c r="C597" s="59"/>
      <c r="D597" s="52" t="s">
        <v>111</v>
      </c>
      <c r="G597" s="52" t="s">
        <v>29</v>
      </c>
      <c r="H597" s="57">
        <v>0.12</v>
      </c>
      <c r="I597" s="52" t="s">
        <v>12</v>
      </c>
      <c r="J597" s="65" t="s">
        <v>8</v>
      </c>
      <c r="K597" s="65" t="s">
        <v>27</v>
      </c>
      <c r="L597" s="53">
        <f>'UPah &amp; Bahan oke'!H91</f>
        <v>25000</v>
      </c>
      <c r="M597" s="65" t="s">
        <v>10</v>
      </c>
      <c r="N597" s="65" t="s">
        <v>27</v>
      </c>
      <c r="O597" s="53">
        <f>+L597*H597</f>
        <v>3000</v>
      </c>
    </row>
    <row r="598" spans="2:15" ht="20.100000000000001" customHeight="1" x14ac:dyDescent="0.3">
      <c r="B598" s="59"/>
      <c r="C598" s="59"/>
      <c r="D598" s="52" t="s">
        <v>115</v>
      </c>
      <c r="H598" s="57">
        <v>0.12</v>
      </c>
      <c r="I598" s="52" t="s">
        <v>12</v>
      </c>
      <c r="J598" s="65" t="s">
        <v>8</v>
      </c>
      <c r="K598" s="65" t="s">
        <v>27</v>
      </c>
      <c r="L598" s="53">
        <f>'UPah &amp; Bahan oke'!H92</f>
        <v>40739</v>
      </c>
      <c r="M598" s="65" t="s">
        <v>10</v>
      </c>
      <c r="N598" s="65" t="s">
        <v>27</v>
      </c>
      <c r="O598" s="53">
        <f>+L598*H598</f>
        <v>4888.6799999999994</v>
      </c>
    </row>
    <row r="599" spans="2:15" ht="20.100000000000001" customHeight="1" x14ac:dyDescent="0.3">
      <c r="B599" s="59"/>
      <c r="C599" s="59"/>
      <c r="D599" s="60" t="s">
        <v>116</v>
      </c>
      <c r="H599" s="57">
        <v>0.26</v>
      </c>
      <c r="I599" s="52" t="s">
        <v>12</v>
      </c>
      <c r="J599" s="65" t="s">
        <v>8</v>
      </c>
      <c r="K599" s="65" t="s">
        <v>27</v>
      </c>
      <c r="L599" s="53">
        <f>'UPah &amp; Bahan oke'!H99</f>
        <v>24000</v>
      </c>
      <c r="M599" s="65" t="s">
        <v>10</v>
      </c>
      <c r="N599" s="65" t="s">
        <v>27</v>
      </c>
      <c r="O599" s="53">
        <f>+L599*H599</f>
        <v>6240</v>
      </c>
    </row>
    <row r="600" spans="2:15" ht="20.100000000000001" customHeight="1" x14ac:dyDescent="0.3">
      <c r="F600" s="52" t="s">
        <v>29</v>
      </c>
      <c r="G600" s="52" t="s">
        <v>29</v>
      </c>
      <c r="J600" s="65"/>
      <c r="K600" s="67" t="s">
        <v>13</v>
      </c>
      <c r="M600" s="65" t="s">
        <v>10</v>
      </c>
      <c r="N600" s="65" t="s">
        <v>27</v>
      </c>
      <c r="O600" s="61">
        <f>SUM(O597:O599)</f>
        <v>14128.68</v>
      </c>
    </row>
    <row r="601" spans="2:15" ht="20.100000000000001" customHeight="1" x14ac:dyDescent="0.3">
      <c r="B601" s="56"/>
      <c r="C601" s="56" t="s">
        <v>117</v>
      </c>
      <c r="D601" s="56" t="s">
        <v>95</v>
      </c>
      <c r="E601" s="56"/>
      <c r="J601" s="65"/>
      <c r="K601" s="65"/>
      <c r="M601" s="65"/>
      <c r="N601" s="65"/>
    </row>
    <row r="602" spans="2:15" ht="20.100000000000001" customHeight="1" x14ac:dyDescent="0.3">
      <c r="B602" s="59"/>
      <c r="C602" s="59"/>
      <c r="D602" s="52" t="s">
        <v>17</v>
      </c>
      <c r="G602" s="52" t="s">
        <v>29</v>
      </c>
      <c r="H602" s="57">
        <v>0.04</v>
      </c>
      <c r="I602" s="52" t="s">
        <v>16</v>
      </c>
      <c r="J602" s="65" t="s">
        <v>8</v>
      </c>
      <c r="K602" s="65" t="s">
        <v>27</v>
      </c>
      <c r="L602" s="53">
        <f>'UPah &amp; Bahan oke'!H9</f>
        <v>110000</v>
      </c>
      <c r="M602" s="65" t="s">
        <v>10</v>
      </c>
      <c r="N602" s="65" t="s">
        <v>27</v>
      </c>
      <c r="O602" s="53">
        <f>+L602*H602</f>
        <v>4400</v>
      </c>
    </row>
    <row r="603" spans="2:15" ht="20.100000000000001" customHeight="1" x14ac:dyDescent="0.3">
      <c r="B603" s="59"/>
      <c r="C603" s="59"/>
      <c r="D603" s="52" t="s">
        <v>103</v>
      </c>
      <c r="H603" s="57">
        <v>0.12</v>
      </c>
      <c r="I603" s="52" t="s">
        <v>16</v>
      </c>
      <c r="J603" s="65" t="s">
        <v>8</v>
      </c>
      <c r="K603" s="65" t="s">
        <v>27</v>
      </c>
      <c r="L603" s="53">
        <f>'UPah &amp; Bahan oke'!H10</f>
        <v>153000</v>
      </c>
      <c r="M603" s="65" t="s">
        <v>10</v>
      </c>
      <c r="N603" s="65" t="s">
        <v>27</v>
      </c>
      <c r="O603" s="53">
        <f>+L603*H603</f>
        <v>18360</v>
      </c>
    </row>
    <row r="604" spans="2:15" ht="20.100000000000001" customHeight="1" x14ac:dyDescent="0.3">
      <c r="B604" s="59"/>
      <c r="C604" s="59"/>
      <c r="D604" s="52" t="s">
        <v>18</v>
      </c>
      <c r="H604" s="57">
        <v>1.2E-2</v>
      </c>
      <c r="I604" s="52" t="s">
        <v>16</v>
      </c>
      <c r="J604" s="65" t="s">
        <v>8</v>
      </c>
      <c r="K604" s="65" t="s">
        <v>27</v>
      </c>
      <c r="L604" s="53">
        <f>'UPah &amp; Bahan oke'!H11</f>
        <v>170000</v>
      </c>
      <c r="M604" s="65" t="s">
        <v>10</v>
      </c>
      <c r="N604" s="65" t="s">
        <v>27</v>
      </c>
      <c r="O604" s="53">
        <f>+L604*H604</f>
        <v>2040</v>
      </c>
    </row>
    <row r="605" spans="2:15" ht="20.100000000000001" customHeight="1" x14ac:dyDescent="0.3">
      <c r="B605" s="59"/>
      <c r="C605" s="59"/>
      <c r="D605" s="52" t="s">
        <v>19</v>
      </c>
      <c r="H605" s="52">
        <v>2E-3</v>
      </c>
      <c r="I605" s="52" t="s">
        <v>16</v>
      </c>
      <c r="J605" s="65" t="s">
        <v>8</v>
      </c>
      <c r="K605" s="65" t="s">
        <v>27</v>
      </c>
      <c r="L605" s="53">
        <f>'UPah &amp; Bahan oke'!H12</f>
        <v>150000</v>
      </c>
      <c r="M605" s="65" t="s">
        <v>10</v>
      </c>
      <c r="N605" s="65" t="s">
        <v>27</v>
      </c>
      <c r="O605" s="53">
        <f>+L605*H605</f>
        <v>300</v>
      </c>
    </row>
    <row r="606" spans="2:15" ht="20.100000000000001" customHeight="1" x14ac:dyDescent="0.3">
      <c r="J606" s="65"/>
      <c r="K606" s="67" t="s">
        <v>20</v>
      </c>
      <c r="M606" s="65" t="s">
        <v>10</v>
      </c>
      <c r="N606" s="65" t="s">
        <v>27</v>
      </c>
      <c r="O606" s="62">
        <f>SUM(O602:O605)</f>
        <v>25100</v>
      </c>
    </row>
    <row r="607" spans="2:15" ht="20.100000000000001" customHeight="1" x14ac:dyDescent="0.3">
      <c r="J607" s="65"/>
      <c r="K607" s="67" t="s">
        <v>21</v>
      </c>
      <c r="M607" s="65" t="s">
        <v>10</v>
      </c>
      <c r="N607" s="65" t="s">
        <v>27</v>
      </c>
      <c r="O607" s="129">
        <f>O606+O600</f>
        <v>39228.68</v>
      </c>
    </row>
    <row r="608" spans="2:15" ht="20.100000000000001" customHeight="1" x14ac:dyDescent="0.3"/>
    <row r="609" spans="2:15" ht="20.100000000000001" customHeight="1" x14ac:dyDescent="0.3"/>
    <row r="610" spans="2:15" ht="20.100000000000001" customHeight="1" x14ac:dyDescent="0.3">
      <c r="L610" s="97"/>
      <c r="M610" s="192" t="str">
        <f>'DATA '!$I$24</f>
        <v>Medan,                2019</v>
      </c>
      <c r="N610" s="53"/>
      <c r="O610" s="52"/>
    </row>
    <row r="611" spans="2:15" ht="20.100000000000001" customHeight="1" x14ac:dyDescent="0.3">
      <c r="E611" s="192" t="str">
        <f>'DATA '!$G$38</f>
        <v>Disetujui oleh :</v>
      </c>
      <c r="M611" s="192" t="str">
        <f>'DATA '!$I$26</f>
        <v>Dibuat oleh :</v>
      </c>
      <c r="N611" s="53"/>
      <c r="O611" s="52"/>
    </row>
    <row r="612" spans="2:15" ht="20.100000000000001" customHeight="1" x14ac:dyDescent="0.3">
      <c r="E612" s="193">
        <f>'DATA '!$C$27</f>
        <v>0</v>
      </c>
      <c r="K612" s="126"/>
      <c r="M612" s="193" t="str">
        <f>'DATA '!$I$27</f>
        <v>Konsultan Perencana</v>
      </c>
      <c r="N612" s="53"/>
      <c r="O612" s="52"/>
    </row>
    <row r="613" spans="2:15" ht="20.100000000000001" customHeight="1" x14ac:dyDescent="0.3">
      <c r="E613" s="193" t="str">
        <f>'DATA '!$C$28</f>
        <v>CV. SPORTIF CITRA MANDIRI</v>
      </c>
      <c r="K613" s="126"/>
      <c r="L613" s="126"/>
      <c r="M613" s="193" t="str">
        <f>'DATA '!$I$28</f>
        <v>CV. KARYA VITALOKA KONSULTAN</v>
      </c>
      <c r="N613" s="126"/>
      <c r="O613" s="126"/>
    </row>
    <row r="614" spans="2:15" ht="20.100000000000001" customHeight="1" x14ac:dyDescent="0.3">
      <c r="E614" s="192"/>
      <c r="L614" s="97"/>
      <c r="M614" s="192"/>
    </row>
    <row r="615" spans="2:15" ht="20.100000000000001" customHeight="1" x14ac:dyDescent="0.3">
      <c r="E615" s="192"/>
      <c r="L615" s="97"/>
      <c r="M615" s="192"/>
    </row>
    <row r="616" spans="2:15" ht="20.100000000000001" customHeight="1" x14ac:dyDescent="0.3">
      <c r="E616" s="192"/>
      <c r="L616" s="97"/>
      <c r="M616" s="192"/>
    </row>
    <row r="617" spans="2:15" ht="20.100000000000001" customHeight="1" x14ac:dyDescent="0.3">
      <c r="E617" s="194" t="str">
        <f>'DATA '!$G$46</f>
        <v>Ir. Jonni Akim Purba</v>
      </c>
      <c r="M617" s="194" t="str">
        <f>'DATA '!$I$34</f>
        <v>Gagah Ashadi, ST</v>
      </c>
    </row>
    <row r="618" spans="2:15" ht="20.100000000000001" customHeight="1" x14ac:dyDescent="0.3">
      <c r="E618" s="192" t="str">
        <f>'DATA '!$G$47</f>
        <v>NIP. 19690601.199402.1.002</v>
      </c>
      <c r="M618" s="192" t="str">
        <f>'DATA '!$I$35</f>
        <v>Team Leader</v>
      </c>
    </row>
    <row r="619" spans="2:15" ht="20.100000000000001" customHeight="1" x14ac:dyDescent="0.3"/>
    <row r="620" spans="2:15" ht="20.100000000000001" customHeight="1" x14ac:dyDescent="0.3"/>
    <row r="621" spans="2:15" ht="20.100000000000001" customHeight="1" x14ac:dyDescent="0.3"/>
    <row r="622" spans="2:15" ht="20.100000000000001" hidden="1" customHeight="1" x14ac:dyDescent="0.3">
      <c r="B622" s="55" t="s">
        <v>96</v>
      </c>
      <c r="C622" s="55" t="s">
        <v>368</v>
      </c>
      <c r="D622" s="56" t="s">
        <v>358</v>
      </c>
      <c r="E622" s="56" t="s">
        <v>434</v>
      </c>
      <c r="F622" s="56"/>
      <c r="G622" s="56"/>
      <c r="H622" s="56"/>
      <c r="I622" s="56"/>
      <c r="J622" s="98"/>
      <c r="K622" s="98"/>
      <c r="L622" s="99"/>
      <c r="M622" s="98"/>
      <c r="N622" s="98"/>
    </row>
    <row r="623" spans="2:15" ht="20.100000000000001" hidden="1" customHeight="1" x14ac:dyDescent="0.3">
      <c r="B623" s="56"/>
      <c r="C623" s="56" t="s">
        <v>281</v>
      </c>
      <c r="D623" s="56" t="s">
        <v>94</v>
      </c>
      <c r="E623" s="56"/>
      <c r="J623" s="65"/>
      <c r="K623" s="65"/>
      <c r="M623" s="65"/>
      <c r="N623" s="65"/>
    </row>
    <row r="624" spans="2:15" ht="20.100000000000001" hidden="1" customHeight="1" x14ac:dyDescent="0.3">
      <c r="B624" s="59"/>
      <c r="C624" s="59"/>
      <c r="D624" s="52" t="s">
        <v>115</v>
      </c>
      <c r="H624" s="57">
        <v>0.12</v>
      </c>
      <c r="I624" s="52" t="s">
        <v>12</v>
      </c>
      <c r="J624" s="65" t="s">
        <v>8</v>
      </c>
      <c r="K624" s="65" t="s">
        <v>27</v>
      </c>
      <c r="L624" s="53">
        <f>VLOOKUP(D624,'UPah &amp; Bahan oke'!$D$9:$H$169,5,0)</f>
        <v>40739</v>
      </c>
      <c r="M624" s="65" t="s">
        <v>10</v>
      </c>
      <c r="N624" s="65" t="s">
        <v>27</v>
      </c>
      <c r="O624" s="53">
        <f>+L624*H624</f>
        <v>4888.6799999999994</v>
      </c>
    </row>
    <row r="625" spans="2:15" ht="20.100000000000001" hidden="1" customHeight="1" x14ac:dyDescent="0.3">
      <c r="B625" s="59"/>
      <c r="C625" s="59"/>
      <c r="D625" s="60" t="s">
        <v>116</v>
      </c>
      <c r="H625" s="57">
        <v>0.26</v>
      </c>
      <c r="I625" s="52" t="s">
        <v>12</v>
      </c>
      <c r="J625" s="65" t="s">
        <v>8</v>
      </c>
      <c r="K625" s="65" t="s">
        <v>27</v>
      </c>
      <c r="L625" s="53">
        <f>VLOOKUP(D625,'UPah &amp; Bahan oke'!$D$9:$H$169,5,0)</f>
        <v>24000</v>
      </c>
      <c r="M625" s="65" t="s">
        <v>10</v>
      </c>
      <c r="N625" s="65" t="s">
        <v>27</v>
      </c>
      <c r="O625" s="53">
        <f>+L625*H625</f>
        <v>6240</v>
      </c>
    </row>
    <row r="626" spans="2:15" ht="20.100000000000001" hidden="1" customHeight="1" x14ac:dyDescent="0.3">
      <c r="F626" s="52" t="s">
        <v>29</v>
      </c>
      <c r="G626" s="52" t="s">
        <v>29</v>
      </c>
      <c r="J626" s="65"/>
      <c r="K626" s="67" t="s">
        <v>13</v>
      </c>
      <c r="M626" s="65" t="s">
        <v>10</v>
      </c>
      <c r="N626" s="65" t="s">
        <v>27</v>
      </c>
      <c r="O626" s="61">
        <f>SUM(O624:O625)</f>
        <v>11128.68</v>
      </c>
    </row>
    <row r="627" spans="2:15" ht="20.100000000000001" hidden="1" customHeight="1" x14ac:dyDescent="0.3">
      <c r="B627" s="56"/>
      <c r="C627" s="56" t="s">
        <v>282</v>
      </c>
      <c r="D627" s="56" t="s">
        <v>95</v>
      </c>
      <c r="E627" s="56"/>
      <c r="J627" s="65"/>
      <c r="K627" s="65"/>
      <c r="M627" s="65"/>
      <c r="N627" s="65"/>
    </row>
    <row r="628" spans="2:15" ht="20.100000000000001" hidden="1" customHeight="1" x14ac:dyDescent="0.3">
      <c r="B628" s="59"/>
      <c r="C628" s="59"/>
      <c r="D628" s="52" t="s">
        <v>17</v>
      </c>
      <c r="G628" s="52" t="s">
        <v>29</v>
      </c>
      <c r="H628" s="57">
        <v>0.03</v>
      </c>
      <c r="I628" s="52" t="s">
        <v>16</v>
      </c>
      <c r="J628" s="65" t="s">
        <v>8</v>
      </c>
      <c r="K628" s="65" t="s">
        <v>27</v>
      </c>
      <c r="L628" s="53">
        <f>VLOOKUP(D628,'UPah &amp; Bahan oke'!$D$9:$H$169,5,0)</f>
        <v>110000</v>
      </c>
      <c r="M628" s="65" t="s">
        <v>10</v>
      </c>
      <c r="N628" s="65" t="s">
        <v>27</v>
      </c>
      <c r="O628" s="53">
        <f>+L628*H628</f>
        <v>3300</v>
      </c>
    </row>
    <row r="629" spans="2:15" ht="20.100000000000001" hidden="1" customHeight="1" x14ac:dyDescent="0.3">
      <c r="B629" s="59"/>
      <c r="C629" s="59"/>
      <c r="D629" s="52" t="s">
        <v>103</v>
      </c>
      <c r="H629" s="57">
        <v>0.09</v>
      </c>
      <c r="I629" s="52" t="s">
        <v>16</v>
      </c>
      <c r="J629" s="65" t="s">
        <v>8</v>
      </c>
      <c r="K629" s="65" t="s">
        <v>27</v>
      </c>
      <c r="L629" s="53">
        <f>VLOOKUP(D629,'UPah &amp; Bahan oke'!$D$9:$H$169,5,0)</f>
        <v>153000</v>
      </c>
      <c r="M629" s="65" t="s">
        <v>10</v>
      </c>
      <c r="N629" s="65" t="s">
        <v>27</v>
      </c>
      <c r="O629" s="53">
        <f>+L629*H629</f>
        <v>13770</v>
      </c>
    </row>
    <row r="630" spans="2:15" ht="20.100000000000001" hidden="1" customHeight="1" x14ac:dyDescent="0.3">
      <c r="B630" s="59"/>
      <c r="C630" s="59"/>
      <c r="D630" s="52" t="s">
        <v>18</v>
      </c>
      <c r="H630" s="57">
        <v>8.9999999999999993E-3</v>
      </c>
      <c r="I630" s="52" t="s">
        <v>16</v>
      </c>
      <c r="J630" s="65" t="s">
        <v>8</v>
      </c>
      <c r="K630" s="65" t="s">
        <v>27</v>
      </c>
      <c r="L630" s="53">
        <f>VLOOKUP(D630,'UPah &amp; Bahan oke'!$D$9:$H$169,5,0)</f>
        <v>170000</v>
      </c>
      <c r="M630" s="65" t="s">
        <v>10</v>
      </c>
      <c r="N630" s="65" t="s">
        <v>27</v>
      </c>
      <c r="O630" s="53">
        <f>+L630*H630</f>
        <v>1529.9999999999998</v>
      </c>
    </row>
    <row r="631" spans="2:15" ht="20.100000000000001" hidden="1" customHeight="1" x14ac:dyDescent="0.3">
      <c r="B631" s="59"/>
      <c r="C631" s="59"/>
      <c r="D631" s="52" t="s">
        <v>19</v>
      </c>
      <c r="H631" s="52">
        <v>1.5E-3</v>
      </c>
      <c r="I631" s="52" t="s">
        <v>16</v>
      </c>
      <c r="J631" s="65" t="s">
        <v>8</v>
      </c>
      <c r="K631" s="65" t="s">
        <v>27</v>
      </c>
      <c r="L631" s="53">
        <f>VLOOKUP(D631,'UPah &amp; Bahan oke'!$D$9:$H$169,5,0)</f>
        <v>150000</v>
      </c>
      <c r="M631" s="65" t="s">
        <v>10</v>
      </c>
      <c r="N631" s="65" t="s">
        <v>27</v>
      </c>
      <c r="O631" s="53">
        <f>+L631*H631</f>
        <v>225</v>
      </c>
    </row>
    <row r="632" spans="2:15" ht="20.100000000000001" hidden="1" customHeight="1" x14ac:dyDescent="0.3">
      <c r="J632" s="65"/>
      <c r="K632" s="67" t="s">
        <v>20</v>
      </c>
      <c r="M632" s="65" t="s">
        <v>10</v>
      </c>
      <c r="N632" s="65" t="s">
        <v>27</v>
      </c>
      <c r="O632" s="62">
        <f>SUM(O628:O631)</f>
        <v>18825</v>
      </c>
    </row>
    <row r="633" spans="2:15" ht="20.100000000000001" hidden="1" customHeight="1" x14ac:dyDescent="0.3">
      <c r="J633" s="65"/>
      <c r="K633" s="67" t="s">
        <v>21</v>
      </c>
      <c r="M633" s="65" t="s">
        <v>10</v>
      </c>
      <c r="N633" s="65" t="s">
        <v>27</v>
      </c>
      <c r="O633" s="129">
        <f>O632+O626</f>
        <v>29953.68</v>
      </c>
    </row>
    <row r="634" spans="2:15" ht="20.100000000000001" hidden="1" customHeight="1" x14ac:dyDescent="0.3"/>
    <row r="635" spans="2:15" ht="20.100000000000001" hidden="1" customHeight="1" x14ac:dyDescent="0.3">
      <c r="B635" s="55" t="s">
        <v>96</v>
      </c>
      <c r="C635" s="87" t="s">
        <v>389</v>
      </c>
      <c r="D635" s="56" t="s">
        <v>358</v>
      </c>
      <c r="E635" s="56" t="s">
        <v>437</v>
      </c>
      <c r="F635" s="56"/>
      <c r="G635" s="56"/>
      <c r="H635" s="56"/>
      <c r="I635" s="56"/>
      <c r="J635" s="98"/>
      <c r="K635" s="98"/>
      <c r="L635" s="99"/>
      <c r="M635" s="98"/>
      <c r="N635" s="98"/>
      <c r="O635" s="53" t="s">
        <v>29</v>
      </c>
    </row>
    <row r="636" spans="2:15" ht="20.100000000000001" hidden="1" customHeight="1" x14ac:dyDescent="0.3">
      <c r="B636" s="56"/>
      <c r="C636" s="56" t="s">
        <v>81</v>
      </c>
      <c r="D636" s="56" t="s">
        <v>94</v>
      </c>
      <c r="E636" s="56"/>
      <c r="J636" s="65"/>
      <c r="K636" s="65"/>
      <c r="M636" s="65"/>
      <c r="N636" s="65"/>
    </row>
    <row r="637" spans="2:15" ht="20.100000000000001" hidden="1" customHeight="1" x14ac:dyDescent="0.3">
      <c r="B637" s="59"/>
      <c r="C637" s="59"/>
      <c r="D637" s="60" t="s">
        <v>289</v>
      </c>
      <c r="H637" s="57">
        <v>0.3</v>
      </c>
      <c r="I637" s="52" t="s">
        <v>12</v>
      </c>
      <c r="J637" s="65" t="s">
        <v>8</v>
      </c>
      <c r="K637" s="65" t="s">
        <v>27</v>
      </c>
      <c r="L637" s="53">
        <f>VLOOKUP(D637,'UPah &amp; Bahan oke'!$D$9:$H$169,5,0)</f>
        <v>81000</v>
      </c>
      <c r="M637" s="65" t="s">
        <v>10</v>
      </c>
      <c r="N637" s="65" t="s">
        <v>27</v>
      </c>
      <c r="O637" s="53">
        <f>+L637*H637</f>
        <v>24300</v>
      </c>
    </row>
    <row r="638" spans="2:15" ht="20.100000000000001" hidden="1" customHeight="1" x14ac:dyDescent="0.3">
      <c r="F638" s="52" t="s">
        <v>29</v>
      </c>
      <c r="G638" s="52" t="s">
        <v>29</v>
      </c>
      <c r="J638" s="65"/>
      <c r="K638" s="67" t="s">
        <v>13</v>
      </c>
      <c r="M638" s="65" t="s">
        <v>10</v>
      </c>
      <c r="N638" s="65" t="s">
        <v>27</v>
      </c>
      <c r="O638" s="61">
        <f>SUM(O637:O637)</f>
        <v>24300</v>
      </c>
    </row>
    <row r="639" spans="2:15" ht="20.100000000000001" hidden="1" customHeight="1" x14ac:dyDescent="0.3">
      <c r="B639" s="56"/>
      <c r="C639" s="56" t="s">
        <v>97</v>
      </c>
      <c r="D639" s="56" t="s">
        <v>95</v>
      </c>
      <c r="E639" s="56"/>
      <c r="J639" s="65"/>
      <c r="K639" s="65"/>
      <c r="M639" s="65"/>
      <c r="N639" s="65"/>
    </row>
    <row r="640" spans="2:15" ht="20.100000000000001" hidden="1" customHeight="1" x14ac:dyDescent="0.3">
      <c r="B640" s="59"/>
      <c r="C640" s="59"/>
      <c r="D640" s="52" t="s">
        <v>17</v>
      </c>
      <c r="G640" s="52" t="s">
        <v>29</v>
      </c>
      <c r="H640" s="57">
        <v>0.06</v>
      </c>
      <c r="I640" s="52" t="s">
        <v>16</v>
      </c>
      <c r="J640" s="65" t="s">
        <v>8</v>
      </c>
      <c r="K640" s="65" t="s">
        <v>27</v>
      </c>
      <c r="L640" s="53">
        <f>VLOOKUP(D640,'UPah &amp; Bahan oke'!$D$9:$H$169,5,0)</f>
        <v>110000</v>
      </c>
      <c r="M640" s="65" t="s">
        <v>10</v>
      </c>
      <c r="N640" s="65" t="s">
        <v>27</v>
      </c>
      <c r="O640" s="53">
        <f>+L640*H640</f>
        <v>6600</v>
      </c>
    </row>
    <row r="641" spans="2:15" ht="20.100000000000001" hidden="1" customHeight="1" x14ac:dyDescent="0.3">
      <c r="B641" s="59"/>
      <c r="C641" s="59"/>
      <c r="D641" s="52" t="s">
        <v>103</v>
      </c>
      <c r="H641" s="57">
        <v>0.06</v>
      </c>
      <c r="I641" s="52" t="s">
        <v>16</v>
      </c>
      <c r="J641" s="65" t="s">
        <v>8</v>
      </c>
      <c r="K641" s="65" t="s">
        <v>27</v>
      </c>
      <c r="L641" s="53">
        <f>VLOOKUP(D641,'UPah &amp; Bahan oke'!$D$9:$H$169,5,0)</f>
        <v>153000</v>
      </c>
      <c r="M641" s="65" t="s">
        <v>10</v>
      </c>
      <c r="N641" s="65" t="s">
        <v>27</v>
      </c>
      <c r="O641" s="53">
        <f>+L641*H641</f>
        <v>9180</v>
      </c>
    </row>
    <row r="642" spans="2:15" ht="20.100000000000001" hidden="1" customHeight="1" x14ac:dyDescent="0.3">
      <c r="B642" s="59"/>
      <c r="C642" s="59"/>
      <c r="D642" s="52" t="s">
        <v>18</v>
      </c>
      <c r="H642" s="89">
        <v>0.12</v>
      </c>
      <c r="I642" s="52" t="s">
        <v>16</v>
      </c>
      <c r="J642" s="65" t="s">
        <v>8</v>
      </c>
      <c r="K642" s="65" t="s">
        <v>27</v>
      </c>
      <c r="L642" s="53">
        <f>VLOOKUP(D642,'UPah &amp; Bahan oke'!$D$9:$H$169,5,0)</f>
        <v>170000</v>
      </c>
      <c r="M642" s="65" t="s">
        <v>10</v>
      </c>
      <c r="N642" s="65" t="s">
        <v>27</v>
      </c>
      <c r="O642" s="53">
        <f>+L642*H642</f>
        <v>20400</v>
      </c>
    </row>
    <row r="643" spans="2:15" ht="20.100000000000001" hidden="1" customHeight="1" x14ac:dyDescent="0.3">
      <c r="B643" s="59"/>
      <c r="C643" s="59"/>
      <c r="D643" s="52" t="s">
        <v>19</v>
      </c>
      <c r="H643" s="52">
        <v>6.0000000000000001E-3</v>
      </c>
      <c r="I643" s="52" t="s">
        <v>16</v>
      </c>
      <c r="J643" s="65" t="s">
        <v>8</v>
      </c>
      <c r="K643" s="65" t="s">
        <v>27</v>
      </c>
      <c r="L643" s="53">
        <f>VLOOKUP(D643,'UPah &amp; Bahan oke'!$D$9:$H$169,5,0)</f>
        <v>150000</v>
      </c>
      <c r="M643" s="65" t="s">
        <v>10</v>
      </c>
      <c r="N643" s="65" t="s">
        <v>27</v>
      </c>
      <c r="O643" s="53">
        <f>+L643*H643</f>
        <v>900</v>
      </c>
    </row>
    <row r="644" spans="2:15" ht="20.100000000000001" hidden="1" customHeight="1" x14ac:dyDescent="0.3">
      <c r="J644" s="65"/>
      <c r="K644" s="67" t="s">
        <v>20</v>
      </c>
      <c r="M644" s="65" t="s">
        <v>10</v>
      </c>
      <c r="N644" s="65" t="s">
        <v>27</v>
      </c>
      <c r="O644" s="62">
        <f>SUM(O640:O643)</f>
        <v>37080</v>
      </c>
    </row>
    <row r="645" spans="2:15" ht="20.100000000000001" hidden="1" customHeight="1" x14ac:dyDescent="0.3">
      <c r="J645" s="65"/>
      <c r="K645" s="67" t="s">
        <v>21</v>
      </c>
      <c r="M645" s="65" t="s">
        <v>10</v>
      </c>
      <c r="N645" s="65" t="s">
        <v>27</v>
      </c>
      <c r="O645" s="129">
        <f>O644+O638</f>
        <v>61380</v>
      </c>
    </row>
    <row r="646" spans="2:15" ht="20.100000000000001" hidden="1" customHeight="1" x14ac:dyDescent="0.3"/>
    <row r="647" spans="2:15" ht="20.100000000000001" hidden="1" customHeight="1" x14ac:dyDescent="0.3">
      <c r="B647" s="54" t="s">
        <v>99</v>
      </c>
    </row>
    <row r="648" spans="2:15" ht="20.100000000000001" hidden="1" customHeight="1" x14ac:dyDescent="0.3"/>
    <row r="649" spans="2:15" ht="20.100000000000001" hidden="1" customHeight="1" x14ac:dyDescent="0.3">
      <c r="B649" s="55" t="s">
        <v>100</v>
      </c>
      <c r="C649" s="55" t="s">
        <v>366</v>
      </c>
      <c r="D649" s="84" t="s">
        <v>361</v>
      </c>
      <c r="E649" s="84" t="s">
        <v>362</v>
      </c>
      <c r="I649" s="100"/>
      <c r="J649" s="67"/>
      <c r="M649" s="101"/>
      <c r="N649" s="65"/>
      <c r="O649" s="65"/>
    </row>
    <row r="650" spans="2:15" ht="20.100000000000001" hidden="1" customHeight="1" x14ac:dyDescent="0.3">
      <c r="B650" s="56"/>
      <c r="C650" s="56" t="s">
        <v>236</v>
      </c>
      <c r="D650" s="56" t="s">
        <v>5</v>
      </c>
      <c r="I650" s="100"/>
      <c r="J650" s="67"/>
      <c r="M650" s="101"/>
      <c r="N650" s="65"/>
      <c r="O650" s="65"/>
    </row>
    <row r="651" spans="2:15" ht="20.100000000000001" hidden="1" customHeight="1" x14ac:dyDescent="0.3">
      <c r="B651" s="59"/>
      <c r="C651" s="59" t="s">
        <v>29</v>
      </c>
      <c r="D651" s="52" t="s">
        <v>403</v>
      </c>
      <c r="H651" s="100">
        <v>1.1000000000000001</v>
      </c>
      <c r="I651" s="67" t="s">
        <v>328</v>
      </c>
      <c r="J651" s="65" t="s">
        <v>8</v>
      </c>
      <c r="K651" s="65" t="s">
        <v>27</v>
      </c>
      <c r="L651" s="53">
        <f>VLOOKUP(D651,'UPah &amp; Bahan oke'!$D$9:$H$169,5,0)</f>
        <v>27500</v>
      </c>
      <c r="M651" s="65" t="s">
        <v>10</v>
      </c>
      <c r="N651" s="65" t="s">
        <v>27</v>
      </c>
      <c r="O651" s="101">
        <f>H651*L651</f>
        <v>30250.000000000004</v>
      </c>
    </row>
    <row r="652" spans="2:15" ht="20.100000000000001" hidden="1" customHeight="1" x14ac:dyDescent="0.3">
      <c r="D652" s="52" t="s">
        <v>239</v>
      </c>
      <c r="H652" s="100">
        <v>2</v>
      </c>
      <c r="I652" s="67" t="s">
        <v>240</v>
      </c>
      <c r="J652" s="65" t="s">
        <v>8</v>
      </c>
      <c r="K652" s="65" t="s">
        <v>27</v>
      </c>
      <c r="L652" s="53">
        <f>VLOOKUP(D652,'UPah &amp; Bahan oke'!$D$9:$H$169,5,0)</f>
        <v>500</v>
      </c>
      <c r="M652" s="65" t="s">
        <v>10</v>
      </c>
      <c r="N652" s="65" t="s">
        <v>27</v>
      </c>
      <c r="O652" s="101">
        <f>H652*L652</f>
        <v>1000</v>
      </c>
    </row>
    <row r="653" spans="2:15" ht="20.100000000000001" hidden="1" customHeight="1" x14ac:dyDescent="0.3">
      <c r="B653" s="56"/>
      <c r="C653" s="56"/>
      <c r="D653" s="52" t="s">
        <v>224</v>
      </c>
      <c r="H653" s="100">
        <v>0.06</v>
      </c>
      <c r="I653" s="67" t="s">
        <v>241</v>
      </c>
      <c r="J653" s="65" t="s">
        <v>8</v>
      </c>
      <c r="K653" s="65" t="s">
        <v>27</v>
      </c>
      <c r="L653" s="53">
        <f>VLOOKUP(D653,'UPah &amp; Bahan oke'!$D$9:$H$169,5,0)</f>
        <v>49000</v>
      </c>
      <c r="M653" s="65" t="s">
        <v>10</v>
      </c>
      <c r="N653" s="65" t="s">
        <v>27</v>
      </c>
      <c r="O653" s="101">
        <f>H653*L653</f>
        <v>2940</v>
      </c>
    </row>
    <row r="654" spans="2:15" ht="20.100000000000001" hidden="1" customHeight="1" x14ac:dyDescent="0.3">
      <c r="B654" s="59"/>
      <c r="C654" s="59" t="s">
        <v>29</v>
      </c>
      <c r="H654" s="100"/>
      <c r="I654" s="67"/>
      <c r="J654" s="103"/>
      <c r="K654" s="78" t="s">
        <v>13</v>
      </c>
      <c r="M654" s="65" t="s">
        <v>10</v>
      </c>
      <c r="N654" s="65" t="s">
        <v>27</v>
      </c>
      <c r="O654" s="104">
        <f>SUM(O651:O653)</f>
        <v>34190</v>
      </c>
    </row>
    <row r="655" spans="2:15" ht="20.100000000000001" hidden="1" customHeight="1" x14ac:dyDescent="0.3">
      <c r="B655" s="59"/>
      <c r="C655" s="56" t="s">
        <v>237</v>
      </c>
      <c r="D655" s="56" t="s">
        <v>15</v>
      </c>
      <c r="H655" s="100"/>
      <c r="I655" s="67"/>
      <c r="K655" s="78"/>
      <c r="M655" s="65"/>
      <c r="N655" s="65"/>
      <c r="O655" s="102"/>
    </row>
    <row r="656" spans="2:15" ht="20.100000000000001" hidden="1" customHeight="1" x14ac:dyDescent="0.3">
      <c r="B656" s="59"/>
      <c r="C656" s="59" t="s">
        <v>29</v>
      </c>
      <c r="D656" s="105" t="s">
        <v>17</v>
      </c>
      <c r="H656" s="100">
        <v>4.2999999999999997E-2</v>
      </c>
      <c r="I656" s="67" t="s">
        <v>242</v>
      </c>
      <c r="J656" s="65" t="s">
        <v>8</v>
      </c>
      <c r="K656" s="65" t="s">
        <v>27</v>
      </c>
      <c r="L656" s="53">
        <f>VLOOKUP(D656,'UPah &amp; Bahan oke'!$D$9:$H$169,5,0)</f>
        <v>110000</v>
      </c>
      <c r="M656" s="65" t="s">
        <v>10</v>
      </c>
      <c r="N656" s="65" t="s">
        <v>27</v>
      </c>
      <c r="O656" s="101">
        <f>H656*L656</f>
        <v>4730</v>
      </c>
    </row>
    <row r="657" spans="2:15" ht="20.100000000000001" hidden="1" customHeight="1" x14ac:dyDescent="0.3">
      <c r="B657" s="59"/>
      <c r="C657" s="59" t="s">
        <v>29</v>
      </c>
      <c r="D657" s="105" t="s">
        <v>103</v>
      </c>
      <c r="H657" s="100">
        <v>4.2999999999999997E-2</v>
      </c>
      <c r="I657" s="67" t="s">
        <v>242</v>
      </c>
      <c r="J657" s="65" t="s">
        <v>8</v>
      </c>
      <c r="K657" s="65" t="s">
        <v>27</v>
      </c>
      <c r="L657" s="53">
        <f>VLOOKUP(D657,'UPah &amp; Bahan oke'!$D$9:$H$169,5,0)</f>
        <v>153000</v>
      </c>
      <c r="M657" s="65" t="s">
        <v>10</v>
      </c>
      <c r="N657" s="65" t="s">
        <v>27</v>
      </c>
      <c r="O657" s="101">
        <f>H657*L657</f>
        <v>6578.9999999999991</v>
      </c>
    </row>
    <row r="658" spans="2:15" ht="20.100000000000001" hidden="1" customHeight="1" x14ac:dyDescent="0.3">
      <c r="D658" s="105" t="s">
        <v>18</v>
      </c>
      <c r="H658" s="106">
        <v>4.3E-3</v>
      </c>
      <c r="I658" s="67" t="s">
        <v>242</v>
      </c>
      <c r="J658" s="65" t="s">
        <v>8</v>
      </c>
      <c r="K658" s="65" t="s">
        <v>27</v>
      </c>
      <c r="L658" s="53">
        <f>VLOOKUP(D658,'UPah &amp; Bahan oke'!$D$9:$H$169,5,0)</f>
        <v>170000</v>
      </c>
      <c r="M658" s="65" t="s">
        <v>10</v>
      </c>
      <c r="N658" s="65" t="s">
        <v>27</v>
      </c>
      <c r="O658" s="101">
        <f>H658*L658</f>
        <v>731</v>
      </c>
    </row>
    <row r="659" spans="2:15" ht="20.100000000000001" hidden="1" customHeight="1" x14ac:dyDescent="0.3">
      <c r="D659" s="105" t="s">
        <v>19</v>
      </c>
      <c r="H659" s="106">
        <v>2.0999999999999999E-3</v>
      </c>
      <c r="I659" s="67" t="s">
        <v>242</v>
      </c>
      <c r="J659" s="65" t="s">
        <v>8</v>
      </c>
      <c r="K659" s="65" t="s">
        <v>27</v>
      </c>
      <c r="L659" s="53">
        <f>VLOOKUP(D659,'UPah &amp; Bahan oke'!$D$9:$H$169,5,0)</f>
        <v>150000</v>
      </c>
      <c r="M659" s="65" t="s">
        <v>10</v>
      </c>
      <c r="N659" s="65" t="s">
        <v>27</v>
      </c>
      <c r="O659" s="101">
        <f>H659*L659</f>
        <v>315</v>
      </c>
    </row>
    <row r="660" spans="2:15" ht="20.100000000000001" hidden="1" customHeight="1" thickBot="1" x14ac:dyDescent="0.35">
      <c r="H660" s="100"/>
      <c r="I660" s="67"/>
      <c r="J660" s="105"/>
      <c r="K660" s="78" t="s">
        <v>20</v>
      </c>
      <c r="M660" s="65" t="s">
        <v>10</v>
      </c>
      <c r="N660" s="65" t="s">
        <v>27</v>
      </c>
      <c r="O660" s="107">
        <f>SUM(O657:O658)</f>
        <v>7309.9999999999991</v>
      </c>
    </row>
    <row r="661" spans="2:15" ht="20.100000000000001" hidden="1" customHeight="1" thickTop="1" x14ac:dyDescent="0.3">
      <c r="H661" s="100"/>
      <c r="I661" s="67"/>
      <c r="K661" s="78" t="s">
        <v>21</v>
      </c>
      <c r="M661" s="65" t="s">
        <v>10</v>
      </c>
      <c r="N661" s="65" t="s">
        <v>27</v>
      </c>
      <c r="O661" s="128">
        <f>O654+O660</f>
        <v>41500</v>
      </c>
    </row>
    <row r="662" spans="2:15" ht="20.100000000000001" hidden="1" customHeight="1" x14ac:dyDescent="0.3">
      <c r="D662" s="108"/>
      <c r="E662" s="108"/>
      <c r="F662" s="108"/>
      <c r="G662" s="108"/>
      <c r="H662" s="109"/>
      <c r="I662" s="108"/>
      <c r="J662" s="110"/>
      <c r="K662" s="111"/>
      <c r="L662" s="112"/>
      <c r="M662" s="110"/>
      <c r="N662" s="111"/>
      <c r="O662" s="112"/>
    </row>
    <row r="663" spans="2:15" ht="20.100000000000001" hidden="1" customHeight="1" x14ac:dyDescent="0.3">
      <c r="B663" s="55" t="s">
        <v>100</v>
      </c>
      <c r="C663" s="55" t="s">
        <v>380</v>
      </c>
      <c r="D663" s="84" t="s">
        <v>329</v>
      </c>
      <c r="E663" s="84" t="s">
        <v>243</v>
      </c>
      <c r="H663" s="100"/>
      <c r="I663" s="67"/>
      <c r="K663" s="78"/>
      <c r="M663" s="65"/>
      <c r="N663" s="65"/>
      <c r="O663" s="102"/>
    </row>
    <row r="664" spans="2:15" ht="20.100000000000001" hidden="1" customHeight="1" x14ac:dyDescent="0.3">
      <c r="C664" s="56" t="s">
        <v>238</v>
      </c>
      <c r="D664" s="56" t="s">
        <v>5</v>
      </c>
      <c r="H664" s="100"/>
      <c r="I664" s="67"/>
      <c r="K664" s="78"/>
      <c r="M664" s="65"/>
      <c r="N664" s="65"/>
      <c r="O664" s="102"/>
    </row>
    <row r="665" spans="2:15" ht="20.100000000000001" hidden="1" customHeight="1" x14ac:dyDescent="0.3">
      <c r="B665" s="56"/>
      <c r="D665" s="52" t="s">
        <v>225</v>
      </c>
      <c r="H665" s="100">
        <v>4.4000000000000004</v>
      </c>
      <c r="I665" s="67" t="s">
        <v>328</v>
      </c>
      <c r="J665" s="65" t="s">
        <v>8</v>
      </c>
      <c r="K665" s="65" t="s">
        <v>27</v>
      </c>
      <c r="L665" s="53">
        <f>VLOOKUP(D665,'UPah &amp; Bahan oke'!$D$9:$H$169,5,0)</f>
        <v>27500</v>
      </c>
      <c r="M665" s="65" t="s">
        <v>10</v>
      </c>
      <c r="N665" s="65" t="s">
        <v>27</v>
      </c>
      <c r="O665" s="101">
        <f>H665*L665</f>
        <v>121000.00000000001</v>
      </c>
    </row>
    <row r="666" spans="2:15" ht="20.100000000000001" hidden="1" customHeight="1" x14ac:dyDescent="0.3">
      <c r="B666" s="59"/>
      <c r="C666" s="59" t="s">
        <v>29</v>
      </c>
      <c r="D666" s="52" t="s">
        <v>244</v>
      </c>
      <c r="H666" s="100">
        <v>4.5</v>
      </c>
      <c r="I666" s="67" t="s">
        <v>328</v>
      </c>
      <c r="J666" s="65" t="s">
        <v>8</v>
      </c>
      <c r="K666" s="65" t="s">
        <v>27</v>
      </c>
      <c r="L666" s="53">
        <f>VLOOKUP(D666,'UPah &amp; Bahan oke'!$D$9:$H$169,5,0)</f>
        <v>25000</v>
      </c>
      <c r="M666" s="65" t="s">
        <v>10</v>
      </c>
      <c r="N666" s="65" t="s">
        <v>27</v>
      </c>
      <c r="O666" s="101">
        <f>H666*L666</f>
        <v>112500</v>
      </c>
    </row>
    <row r="667" spans="2:15" ht="20.100000000000001" hidden="1" customHeight="1" x14ac:dyDescent="0.3">
      <c r="B667" s="59"/>
      <c r="C667" s="59" t="s">
        <v>29</v>
      </c>
      <c r="D667" s="52" t="s">
        <v>224</v>
      </c>
      <c r="H667" s="100">
        <v>0.27</v>
      </c>
      <c r="I667" s="67" t="s">
        <v>241</v>
      </c>
      <c r="J667" s="65" t="s">
        <v>8</v>
      </c>
      <c r="K667" s="65" t="s">
        <v>27</v>
      </c>
      <c r="L667" s="53">
        <f>VLOOKUP(D667,'UPah &amp; Bahan oke'!$D$9:$H$169,5,0)</f>
        <v>49000</v>
      </c>
      <c r="M667" s="65" t="s">
        <v>10</v>
      </c>
      <c r="N667" s="65" t="s">
        <v>27</v>
      </c>
      <c r="O667" s="101">
        <f>H667*L667</f>
        <v>13230</v>
      </c>
    </row>
    <row r="668" spans="2:15" ht="20.100000000000001" hidden="1" customHeight="1" x14ac:dyDescent="0.3">
      <c r="B668" s="59"/>
      <c r="C668" s="59" t="s">
        <v>101</v>
      </c>
      <c r="H668" s="100"/>
      <c r="I668" s="67"/>
      <c r="J668" s="103"/>
      <c r="K668" s="78" t="s">
        <v>13</v>
      </c>
      <c r="M668" s="65" t="s">
        <v>10</v>
      </c>
      <c r="N668" s="65" t="s">
        <v>27</v>
      </c>
      <c r="O668" s="104">
        <f>SUM(O665:O667)</f>
        <v>246730</v>
      </c>
    </row>
    <row r="669" spans="2:15" ht="20.100000000000001" hidden="1" customHeight="1" x14ac:dyDescent="0.3">
      <c r="B669" s="59"/>
      <c r="C669" s="56" t="s">
        <v>246</v>
      </c>
      <c r="D669" s="56" t="s">
        <v>15</v>
      </c>
      <c r="H669" s="100"/>
      <c r="I669" s="67"/>
      <c r="K669" s="78"/>
      <c r="M669" s="65"/>
      <c r="N669" s="65"/>
      <c r="O669" s="102"/>
    </row>
    <row r="670" spans="2:15" ht="20.100000000000001" hidden="1" customHeight="1" x14ac:dyDescent="0.3">
      <c r="D670" s="105" t="s">
        <v>17</v>
      </c>
      <c r="H670" s="100">
        <v>8.5000000000000006E-2</v>
      </c>
      <c r="I670" s="67" t="s">
        <v>242</v>
      </c>
      <c r="J670" s="65" t="s">
        <v>8</v>
      </c>
      <c r="K670" s="65" t="s">
        <v>27</v>
      </c>
      <c r="L670" s="53">
        <f>VLOOKUP(D670,'UPah &amp; Bahan oke'!$D$9:$H$169,5,0)</f>
        <v>110000</v>
      </c>
      <c r="M670" s="65" t="s">
        <v>10</v>
      </c>
      <c r="N670" s="65" t="s">
        <v>27</v>
      </c>
      <c r="O670" s="101">
        <f>H670*L670</f>
        <v>9350</v>
      </c>
    </row>
    <row r="671" spans="2:15" ht="20.100000000000001" hidden="1" customHeight="1" x14ac:dyDescent="0.3">
      <c r="D671" s="105" t="s">
        <v>103</v>
      </c>
      <c r="H671" s="100">
        <v>8.5000000000000006E-2</v>
      </c>
      <c r="I671" s="67" t="s">
        <v>242</v>
      </c>
      <c r="J671" s="65" t="s">
        <v>8</v>
      </c>
      <c r="K671" s="65" t="s">
        <v>27</v>
      </c>
      <c r="L671" s="53">
        <f>VLOOKUP(D671,'UPah &amp; Bahan oke'!$D$9:$H$169,5,0)</f>
        <v>153000</v>
      </c>
      <c r="M671" s="65" t="s">
        <v>10</v>
      </c>
      <c r="N671" s="65" t="s">
        <v>27</v>
      </c>
      <c r="O671" s="101">
        <f>H671*L671</f>
        <v>13005.000000000002</v>
      </c>
    </row>
    <row r="672" spans="2:15" ht="20.100000000000001" hidden="1" customHeight="1" x14ac:dyDescent="0.3">
      <c r="D672" s="105" t="s">
        <v>18</v>
      </c>
      <c r="H672" s="106">
        <v>8.9999999999999993E-3</v>
      </c>
      <c r="I672" s="67" t="s">
        <v>242</v>
      </c>
      <c r="J672" s="65" t="s">
        <v>8</v>
      </c>
      <c r="K672" s="65" t="s">
        <v>27</v>
      </c>
      <c r="L672" s="53">
        <f>VLOOKUP(D672,'UPah &amp; Bahan oke'!$D$9:$H$169,5,0)</f>
        <v>170000</v>
      </c>
      <c r="M672" s="65" t="s">
        <v>10</v>
      </c>
      <c r="N672" s="65" t="s">
        <v>27</v>
      </c>
      <c r="O672" s="101">
        <f>H672*L672</f>
        <v>1529.9999999999998</v>
      </c>
    </row>
    <row r="673" spans="2:15" ht="20.100000000000001" hidden="1" customHeight="1" x14ac:dyDescent="0.3">
      <c r="B673" s="55"/>
      <c r="C673" s="55"/>
      <c r="D673" s="105" t="s">
        <v>19</v>
      </c>
      <c r="H673" s="106">
        <v>5.0000000000000001E-3</v>
      </c>
      <c r="I673" s="67" t="s">
        <v>242</v>
      </c>
      <c r="J673" s="65" t="s">
        <v>8</v>
      </c>
      <c r="K673" s="65" t="s">
        <v>27</v>
      </c>
      <c r="L673" s="53">
        <f>VLOOKUP(D673,'UPah &amp; Bahan oke'!$D$9:$H$169,5,0)</f>
        <v>150000</v>
      </c>
      <c r="M673" s="65" t="s">
        <v>10</v>
      </c>
      <c r="N673" s="65" t="s">
        <v>27</v>
      </c>
      <c r="O673" s="101">
        <f>H673*L673</f>
        <v>750</v>
      </c>
    </row>
    <row r="674" spans="2:15" ht="20.100000000000001" hidden="1" customHeight="1" thickBot="1" x14ac:dyDescent="0.35">
      <c r="B674" s="56"/>
      <c r="C674" s="56"/>
      <c r="H674" s="100"/>
      <c r="I674" s="67"/>
      <c r="J674" s="105"/>
      <c r="K674" s="78" t="s">
        <v>20</v>
      </c>
      <c r="M674" s="65" t="s">
        <v>10</v>
      </c>
      <c r="N674" s="65" t="s">
        <v>27</v>
      </c>
      <c r="O674" s="107">
        <f>SUM(O671:O672)</f>
        <v>14535.000000000002</v>
      </c>
    </row>
    <row r="675" spans="2:15" ht="20.100000000000001" hidden="1" customHeight="1" thickTop="1" x14ac:dyDescent="0.3">
      <c r="B675" s="59"/>
      <c r="C675" s="59" t="s">
        <v>29</v>
      </c>
      <c r="H675" s="100"/>
      <c r="I675" s="67"/>
      <c r="K675" s="78" t="s">
        <v>21</v>
      </c>
      <c r="M675" s="65" t="s">
        <v>10</v>
      </c>
      <c r="N675" s="65" t="s">
        <v>27</v>
      </c>
      <c r="O675" s="128">
        <f>O668+O674</f>
        <v>261265</v>
      </c>
    </row>
    <row r="676" spans="2:15" ht="20.100000000000001" hidden="1" customHeight="1" x14ac:dyDescent="0.3">
      <c r="B676" s="59"/>
      <c r="C676" s="59" t="s">
        <v>29</v>
      </c>
      <c r="D676" s="113"/>
      <c r="E676" s="113"/>
      <c r="F676" s="113"/>
      <c r="G676" s="113"/>
      <c r="H676" s="114"/>
      <c r="I676" s="108"/>
      <c r="J676" s="115"/>
      <c r="K676" s="111"/>
      <c r="L676" s="112"/>
      <c r="M676" s="115"/>
      <c r="N676" s="115"/>
      <c r="O676" s="112"/>
    </row>
    <row r="677" spans="2:15" ht="20.100000000000001" hidden="1" customHeight="1" x14ac:dyDescent="0.3">
      <c r="B677" s="84" t="s">
        <v>100</v>
      </c>
      <c r="C677" s="84" t="s">
        <v>247</v>
      </c>
      <c r="D677" s="84" t="s">
        <v>329</v>
      </c>
      <c r="E677" s="84" t="s">
        <v>245</v>
      </c>
      <c r="H677" s="100"/>
      <c r="I677" s="67"/>
      <c r="K677" s="78"/>
      <c r="M677" s="65"/>
      <c r="N677" s="65"/>
      <c r="O677" s="102"/>
    </row>
    <row r="678" spans="2:15" ht="20.100000000000001" hidden="1" customHeight="1" x14ac:dyDescent="0.3">
      <c r="B678" s="56"/>
      <c r="C678" s="56" t="s">
        <v>248</v>
      </c>
      <c r="D678" s="56" t="s">
        <v>5</v>
      </c>
      <c r="H678" s="100"/>
      <c r="I678" s="67"/>
      <c r="K678" s="78"/>
      <c r="M678" s="65"/>
      <c r="N678" s="65"/>
      <c r="O678" s="102"/>
    </row>
    <row r="679" spans="2:15" ht="20.100000000000001" hidden="1" customHeight="1" x14ac:dyDescent="0.3">
      <c r="B679" s="59"/>
      <c r="C679" s="59"/>
      <c r="D679" s="52" t="s">
        <v>226</v>
      </c>
      <c r="H679" s="100">
        <v>4.4000000000000004</v>
      </c>
      <c r="I679" s="67" t="s">
        <v>328</v>
      </c>
      <c r="J679" s="65" t="s">
        <v>8</v>
      </c>
      <c r="K679" s="65" t="s">
        <v>27</v>
      </c>
      <c r="L679" s="53">
        <f>VLOOKUP(D679,'UPah &amp; Bahan oke'!$D$9:$H$169,5,0)</f>
        <v>27500</v>
      </c>
      <c r="M679" s="65" t="s">
        <v>10</v>
      </c>
      <c r="N679" s="65" t="s">
        <v>27</v>
      </c>
      <c r="O679" s="101">
        <f>H679*L679</f>
        <v>121000.00000000001</v>
      </c>
    </row>
    <row r="680" spans="2:15" ht="20.100000000000001" hidden="1" customHeight="1" x14ac:dyDescent="0.3">
      <c r="B680" s="59"/>
      <c r="C680" s="59"/>
      <c r="D680" s="52" t="s">
        <v>244</v>
      </c>
      <c r="H680" s="100">
        <v>4.5</v>
      </c>
      <c r="I680" s="67" t="s">
        <v>328</v>
      </c>
      <c r="J680" s="65" t="s">
        <v>8</v>
      </c>
      <c r="K680" s="65" t="s">
        <v>27</v>
      </c>
      <c r="L680" s="53">
        <f>VLOOKUP(D680,'UPah &amp; Bahan oke'!$D$9:$H$169,5,0)</f>
        <v>25000</v>
      </c>
      <c r="M680" s="65" t="s">
        <v>10</v>
      </c>
      <c r="N680" s="65" t="s">
        <v>27</v>
      </c>
      <c r="O680" s="101">
        <f>H680*L680</f>
        <v>112500</v>
      </c>
    </row>
    <row r="681" spans="2:15" ht="20.100000000000001" hidden="1" customHeight="1" x14ac:dyDescent="0.3">
      <c r="B681" s="59"/>
      <c r="C681" s="59"/>
      <c r="D681" s="52" t="s">
        <v>224</v>
      </c>
      <c r="H681" s="100">
        <v>0.27</v>
      </c>
      <c r="I681" s="67" t="s">
        <v>241</v>
      </c>
      <c r="J681" s="65" t="s">
        <v>8</v>
      </c>
      <c r="K681" s="65" t="s">
        <v>27</v>
      </c>
      <c r="L681" s="53">
        <f>VLOOKUP(D681,'UPah &amp; Bahan oke'!$D$9:$H$169,5,0)</f>
        <v>49000</v>
      </c>
      <c r="M681" s="65" t="s">
        <v>10</v>
      </c>
      <c r="N681" s="65" t="s">
        <v>27</v>
      </c>
      <c r="O681" s="101">
        <f>H681*L681</f>
        <v>13230</v>
      </c>
    </row>
    <row r="682" spans="2:15" ht="20.100000000000001" hidden="1" customHeight="1" x14ac:dyDescent="0.3">
      <c r="B682" s="59"/>
      <c r="C682" s="59"/>
      <c r="H682" s="100"/>
      <c r="I682" s="67"/>
      <c r="J682" s="103"/>
      <c r="K682" s="78" t="s">
        <v>13</v>
      </c>
      <c r="M682" s="65" t="s">
        <v>10</v>
      </c>
      <c r="N682" s="65" t="s">
        <v>27</v>
      </c>
      <c r="O682" s="104">
        <f>SUM(O679:O681)</f>
        <v>246730</v>
      </c>
    </row>
    <row r="683" spans="2:15" ht="20.100000000000001" hidden="1" customHeight="1" x14ac:dyDescent="0.3">
      <c r="C683" s="56" t="s">
        <v>249</v>
      </c>
      <c r="D683" s="56" t="s">
        <v>15</v>
      </c>
      <c r="H683" s="100"/>
      <c r="I683" s="67"/>
      <c r="K683" s="78"/>
      <c r="M683" s="65"/>
      <c r="N683" s="65"/>
      <c r="O683" s="102"/>
    </row>
    <row r="684" spans="2:15" ht="20.100000000000001" hidden="1" customHeight="1" x14ac:dyDescent="0.3">
      <c r="C684" s="56"/>
      <c r="D684" s="105" t="s">
        <v>17</v>
      </c>
      <c r="H684" s="100">
        <v>8.5000000000000006E-2</v>
      </c>
      <c r="I684" s="67" t="s">
        <v>242</v>
      </c>
      <c r="J684" s="65" t="s">
        <v>8</v>
      </c>
      <c r="K684" s="65" t="s">
        <v>27</v>
      </c>
      <c r="L684" s="53">
        <f>VLOOKUP(D684,'UPah &amp; Bahan oke'!$D$9:$H$169,5,0)</f>
        <v>110000</v>
      </c>
      <c r="M684" s="65" t="s">
        <v>10</v>
      </c>
      <c r="N684" s="65" t="s">
        <v>27</v>
      </c>
      <c r="O684" s="101">
        <f>H684*L684</f>
        <v>9350</v>
      </c>
    </row>
    <row r="685" spans="2:15" ht="20.100000000000001" hidden="1" customHeight="1" x14ac:dyDescent="0.3">
      <c r="B685" s="59"/>
      <c r="C685" s="59" t="s">
        <v>101</v>
      </c>
      <c r="D685" s="105" t="s">
        <v>103</v>
      </c>
      <c r="H685" s="100">
        <v>8.5000000000000006E-2</v>
      </c>
      <c r="I685" s="67" t="s">
        <v>242</v>
      </c>
      <c r="J685" s="65" t="s">
        <v>8</v>
      </c>
      <c r="K685" s="65" t="s">
        <v>27</v>
      </c>
      <c r="L685" s="53">
        <f>VLOOKUP(D685,'UPah &amp; Bahan oke'!$D$9:$H$169,5,0)</f>
        <v>153000</v>
      </c>
      <c r="M685" s="65" t="s">
        <v>10</v>
      </c>
      <c r="N685" s="65" t="s">
        <v>27</v>
      </c>
      <c r="O685" s="101">
        <f>H685*L685</f>
        <v>13005.000000000002</v>
      </c>
    </row>
    <row r="686" spans="2:15" ht="20.100000000000001" hidden="1" customHeight="1" x14ac:dyDescent="0.3">
      <c r="D686" s="105" t="s">
        <v>18</v>
      </c>
      <c r="H686" s="106">
        <v>8.9999999999999993E-3</v>
      </c>
      <c r="I686" s="67" t="s">
        <v>242</v>
      </c>
      <c r="J686" s="65" t="s">
        <v>8</v>
      </c>
      <c r="K686" s="65" t="s">
        <v>27</v>
      </c>
      <c r="L686" s="53">
        <f>VLOOKUP(D686,'UPah &amp; Bahan oke'!$D$9:$H$169,5,0)</f>
        <v>170000</v>
      </c>
      <c r="M686" s="65" t="s">
        <v>10</v>
      </c>
      <c r="N686" s="65" t="s">
        <v>27</v>
      </c>
      <c r="O686" s="101">
        <f>H686*L686</f>
        <v>1529.9999999999998</v>
      </c>
    </row>
    <row r="687" spans="2:15" ht="20.100000000000001" hidden="1" customHeight="1" x14ac:dyDescent="0.3">
      <c r="D687" s="105" t="s">
        <v>19</v>
      </c>
      <c r="H687" s="106">
        <v>5.0000000000000001E-3</v>
      </c>
      <c r="I687" s="67" t="s">
        <v>242</v>
      </c>
      <c r="J687" s="65" t="s">
        <v>8</v>
      </c>
      <c r="K687" s="65" t="s">
        <v>27</v>
      </c>
      <c r="L687" s="53">
        <f>VLOOKUP(D687,'UPah &amp; Bahan oke'!$D$9:$H$169,5,0)</f>
        <v>150000</v>
      </c>
      <c r="M687" s="65" t="s">
        <v>10</v>
      </c>
      <c r="N687" s="65" t="s">
        <v>27</v>
      </c>
      <c r="O687" s="101">
        <f>H687*L687</f>
        <v>750</v>
      </c>
    </row>
    <row r="688" spans="2:15" ht="20.100000000000001" hidden="1" customHeight="1" thickBot="1" x14ac:dyDescent="0.35">
      <c r="H688" s="100"/>
      <c r="I688" s="67"/>
      <c r="J688" s="105"/>
      <c r="K688" s="78" t="s">
        <v>20</v>
      </c>
      <c r="M688" s="65" t="s">
        <v>10</v>
      </c>
      <c r="N688" s="65" t="s">
        <v>27</v>
      </c>
      <c r="O688" s="107">
        <f>SUM(O685:O686)</f>
        <v>14535.000000000002</v>
      </c>
    </row>
    <row r="689" spans="2:15" ht="20.100000000000001" hidden="1" customHeight="1" thickTop="1" x14ac:dyDescent="0.3">
      <c r="B689" s="55"/>
      <c r="C689" s="55"/>
      <c r="H689" s="100"/>
      <c r="I689" s="67"/>
      <c r="K689" s="78" t="s">
        <v>21</v>
      </c>
      <c r="M689" s="65" t="s">
        <v>10</v>
      </c>
      <c r="N689" s="65" t="s">
        <v>27</v>
      </c>
      <c r="O689" s="128">
        <f>O682+O688</f>
        <v>261265</v>
      </c>
    </row>
    <row r="690" spans="2:15" ht="20.100000000000001" hidden="1" customHeight="1" x14ac:dyDescent="0.3">
      <c r="B690" s="56"/>
      <c r="C690" s="56"/>
      <c r="D690" s="56"/>
      <c r="H690" s="93"/>
      <c r="I690" s="65"/>
      <c r="J690" s="65"/>
      <c r="K690" s="53"/>
      <c r="M690" s="65"/>
      <c r="N690" s="88"/>
    </row>
    <row r="691" spans="2:15" ht="20.100000000000001" hidden="1" customHeight="1" x14ac:dyDescent="0.3">
      <c r="B691" s="116"/>
      <c r="C691" s="122" t="s">
        <v>267</v>
      </c>
      <c r="D691" s="117"/>
      <c r="E691" s="118"/>
      <c r="F691" s="118"/>
      <c r="G691" s="118"/>
      <c r="H691" s="119"/>
      <c r="I691" s="120"/>
      <c r="J691" s="120"/>
      <c r="K691" s="66"/>
      <c r="L691" s="121"/>
      <c r="M691" s="120"/>
      <c r="N691" s="66"/>
      <c r="O691" s="66"/>
    </row>
    <row r="692" spans="2:15" ht="20.100000000000001" hidden="1" customHeight="1" x14ac:dyDescent="0.3">
      <c r="B692" s="116"/>
      <c r="C692" s="116"/>
      <c r="D692" s="117"/>
      <c r="E692" s="118"/>
      <c r="F692" s="118"/>
      <c r="G692" s="118"/>
      <c r="H692" s="119"/>
      <c r="I692" s="120"/>
      <c r="J692" s="120"/>
      <c r="K692" s="66"/>
      <c r="L692" s="121"/>
      <c r="M692" s="120"/>
      <c r="N692" s="66"/>
      <c r="O692" s="66"/>
    </row>
    <row r="693" spans="2:15" ht="20.100000000000001" hidden="1" customHeight="1" x14ac:dyDescent="0.3">
      <c r="B693" s="55" t="s">
        <v>268</v>
      </c>
      <c r="C693" s="55" t="s">
        <v>330</v>
      </c>
      <c r="D693" s="56" t="s">
        <v>363</v>
      </c>
      <c r="E693" s="56" t="s">
        <v>374</v>
      </c>
      <c r="G693" s="57"/>
      <c r="H693" s="65"/>
      <c r="I693" s="65"/>
      <c r="J693" s="65"/>
      <c r="K693" s="78"/>
      <c r="L693" s="88"/>
      <c r="M693" s="65"/>
      <c r="N693" s="80"/>
      <c r="O693" s="66"/>
    </row>
    <row r="694" spans="2:15" ht="20.100000000000001" hidden="1" customHeight="1" x14ac:dyDescent="0.3">
      <c r="B694" s="55"/>
      <c r="C694" s="55" t="s">
        <v>269</v>
      </c>
      <c r="D694" s="56" t="s">
        <v>5</v>
      </c>
      <c r="G694" s="57"/>
      <c r="H694" s="65"/>
      <c r="I694" s="65"/>
      <c r="J694" s="65"/>
      <c r="K694" s="78"/>
      <c r="L694" s="88"/>
      <c r="M694" s="65"/>
      <c r="N694" s="80"/>
      <c r="O694" s="66"/>
    </row>
    <row r="695" spans="2:15" ht="20.100000000000001" hidden="1" customHeight="1" x14ac:dyDescent="0.3">
      <c r="B695" s="59"/>
      <c r="C695" s="59" t="s">
        <v>29</v>
      </c>
      <c r="D695" s="52" t="s">
        <v>220</v>
      </c>
      <c r="H695" s="57">
        <v>1</v>
      </c>
      <c r="I695" s="65" t="s">
        <v>58</v>
      </c>
      <c r="J695" s="65" t="s">
        <v>8</v>
      </c>
      <c r="K695" s="65" t="s">
        <v>27</v>
      </c>
      <c r="L695" s="53">
        <f>VLOOKUP(D695,'UPah &amp; Bahan oke'!$D$9:$H$169,5,0)</f>
        <v>0</v>
      </c>
      <c r="M695" s="65" t="s">
        <v>10</v>
      </c>
      <c r="N695" s="65" t="s">
        <v>27</v>
      </c>
      <c r="O695" s="80">
        <f>L695*H695</f>
        <v>0</v>
      </c>
    </row>
    <row r="696" spans="2:15" ht="20.100000000000001" hidden="1" customHeight="1" x14ac:dyDescent="0.3">
      <c r="B696" s="67"/>
      <c r="C696" s="67"/>
      <c r="H696" s="57"/>
      <c r="I696" s="65"/>
      <c r="J696" s="65"/>
      <c r="K696" s="67" t="s">
        <v>13</v>
      </c>
      <c r="M696" s="65" t="s">
        <v>10</v>
      </c>
      <c r="N696" s="65" t="s">
        <v>27</v>
      </c>
      <c r="O696" s="90">
        <f>SUM(O695)</f>
        <v>0</v>
      </c>
    </row>
    <row r="697" spans="2:15" ht="20.100000000000001" hidden="1" customHeight="1" x14ac:dyDescent="0.3">
      <c r="B697" s="55"/>
      <c r="C697" s="55" t="s">
        <v>270</v>
      </c>
      <c r="D697" s="56" t="s">
        <v>15</v>
      </c>
      <c r="H697" s="57"/>
      <c r="I697" s="65"/>
      <c r="J697" s="65"/>
      <c r="K697" s="65"/>
      <c r="M697" s="65"/>
      <c r="N697" s="65"/>
      <c r="O697" s="80"/>
    </row>
    <row r="698" spans="2:15" ht="20.100000000000001" hidden="1" customHeight="1" x14ac:dyDescent="0.3">
      <c r="B698" s="59"/>
      <c r="C698" s="59"/>
      <c r="D698" s="52" t="s">
        <v>17</v>
      </c>
      <c r="H698" s="57">
        <v>5.0000000000000001E-3</v>
      </c>
      <c r="I698" s="65" t="s">
        <v>16</v>
      </c>
      <c r="J698" s="65" t="s">
        <v>8</v>
      </c>
      <c r="K698" s="65" t="s">
        <v>27</v>
      </c>
      <c r="L698" s="53">
        <f>VLOOKUP(D698,'UPah &amp; Bahan oke'!$D$9:$H$169,5,0)</f>
        <v>110000</v>
      </c>
      <c r="M698" s="65" t="s">
        <v>10</v>
      </c>
      <c r="N698" s="67" t="s">
        <v>27</v>
      </c>
      <c r="O698" s="80">
        <f>L698*H698</f>
        <v>550</v>
      </c>
    </row>
    <row r="699" spans="2:15" ht="20.100000000000001" hidden="1" customHeight="1" x14ac:dyDescent="0.3">
      <c r="B699" s="59"/>
      <c r="C699" s="59"/>
      <c r="D699" s="52" t="s">
        <v>103</v>
      </c>
      <c r="H699" s="57">
        <v>0.5</v>
      </c>
      <c r="I699" s="65" t="s">
        <v>16</v>
      </c>
      <c r="J699" s="65" t="s">
        <v>8</v>
      </c>
      <c r="K699" s="65" t="s">
        <v>27</v>
      </c>
      <c r="L699" s="53">
        <f>VLOOKUP(D699,'UPah &amp; Bahan oke'!$D$9:$H$169,5,0)</f>
        <v>153000</v>
      </c>
      <c r="M699" s="65" t="s">
        <v>10</v>
      </c>
      <c r="N699" s="67" t="s">
        <v>27</v>
      </c>
      <c r="O699" s="80">
        <f>L699*H699</f>
        <v>76500</v>
      </c>
    </row>
    <row r="700" spans="2:15" ht="20.100000000000001" hidden="1" customHeight="1" x14ac:dyDescent="0.3">
      <c r="B700" s="59"/>
      <c r="C700" s="59"/>
      <c r="D700" s="52" t="s">
        <v>93</v>
      </c>
      <c r="H700" s="57">
        <v>5.0000000000000001E-3</v>
      </c>
      <c r="I700" s="65" t="s">
        <v>16</v>
      </c>
      <c r="J700" s="65" t="s">
        <v>8</v>
      </c>
      <c r="K700" s="65" t="s">
        <v>27</v>
      </c>
      <c r="L700" s="53">
        <f>VLOOKUP(D700,'UPah &amp; Bahan oke'!$D$9:$H$169,5,0)</f>
        <v>170000</v>
      </c>
      <c r="M700" s="65" t="s">
        <v>10</v>
      </c>
      <c r="N700" s="67" t="s">
        <v>27</v>
      </c>
      <c r="O700" s="80">
        <f>L700*H700</f>
        <v>850</v>
      </c>
    </row>
    <row r="701" spans="2:15" ht="20.100000000000001" hidden="1" customHeight="1" x14ac:dyDescent="0.3">
      <c r="B701" s="59"/>
      <c r="C701" s="59"/>
      <c r="D701" s="52" t="s">
        <v>19</v>
      </c>
      <c r="H701" s="123">
        <v>2.5000000000000001E-4</v>
      </c>
      <c r="I701" s="65" t="s">
        <v>16</v>
      </c>
      <c r="J701" s="65" t="s">
        <v>8</v>
      </c>
      <c r="K701" s="65" t="s">
        <v>27</v>
      </c>
      <c r="L701" s="53">
        <f>VLOOKUP(D701,'UPah &amp; Bahan oke'!$D$9:$H$169,5,0)</f>
        <v>150000</v>
      </c>
      <c r="M701" s="65" t="s">
        <v>10</v>
      </c>
      <c r="N701" s="67" t="s">
        <v>27</v>
      </c>
      <c r="O701" s="80">
        <f>L701*H701</f>
        <v>37.5</v>
      </c>
    </row>
    <row r="702" spans="2:15" ht="20.100000000000001" hidden="1" customHeight="1" x14ac:dyDescent="0.3">
      <c r="B702" s="67"/>
      <c r="C702" s="67"/>
      <c r="H702" s="57"/>
      <c r="I702" s="65"/>
      <c r="J702" s="65"/>
      <c r="K702" s="67" t="s">
        <v>20</v>
      </c>
      <c r="M702" s="65" t="s">
        <v>10</v>
      </c>
      <c r="N702" s="67" t="s">
        <v>27</v>
      </c>
      <c r="O702" s="92">
        <f>SUM(O698:O701)</f>
        <v>77937.5</v>
      </c>
    </row>
    <row r="703" spans="2:15" ht="20.100000000000001" hidden="1" customHeight="1" x14ac:dyDescent="0.3">
      <c r="B703" s="67"/>
      <c r="C703" s="67"/>
      <c r="H703" s="57"/>
      <c r="I703" s="65"/>
      <c r="J703" s="65"/>
      <c r="K703" s="67" t="s">
        <v>21</v>
      </c>
      <c r="M703" s="65" t="s">
        <v>10</v>
      </c>
      <c r="N703" s="67" t="s">
        <v>27</v>
      </c>
      <c r="O703" s="127">
        <f>O702+O696</f>
        <v>77937.5</v>
      </c>
    </row>
    <row r="704" spans="2:15" ht="20.100000000000001" hidden="1" customHeight="1" x14ac:dyDescent="0.3">
      <c r="B704" s="55" t="s">
        <v>268</v>
      </c>
      <c r="C704" s="55" t="s">
        <v>381</v>
      </c>
      <c r="D704" s="56" t="s">
        <v>363</v>
      </c>
      <c r="E704" s="56" t="s">
        <v>373</v>
      </c>
      <c r="H704" s="57"/>
      <c r="I704" s="65"/>
      <c r="J704" s="65"/>
      <c r="K704" s="65"/>
      <c r="M704" s="65"/>
      <c r="N704" s="65"/>
      <c r="O704" s="80"/>
    </row>
    <row r="705" spans="2:15" ht="20.100000000000001" hidden="1" customHeight="1" x14ac:dyDescent="0.3">
      <c r="B705" s="55"/>
      <c r="C705" s="55" t="s">
        <v>102</v>
      </c>
      <c r="D705" s="56" t="s">
        <v>5</v>
      </c>
      <c r="H705" s="57"/>
      <c r="I705" s="65"/>
      <c r="J705" s="65"/>
      <c r="K705" s="65"/>
      <c r="M705" s="65"/>
      <c r="N705" s="65"/>
      <c r="O705" s="80"/>
    </row>
    <row r="706" spans="2:15" ht="20.100000000000001" hidden="1" customHeight="1" x14ac:dyDescent="0.3">
      <c r="B706" s="59"/>
      <c r="C706" s="59" t="s">
        <v>29</v>
      </c>
      <c r="D706" s="52" t="s">
        <v>222</v>
      </c>
      <c r="H706" s="57">
        <v>1</v>
      </c>
      <c r="I706" s="65" t="s">
        <v>58</v>
      </c>
      <c r="J706" s="65" t="s">
        <v>8</v>
      </c>
      <c r="K706" s="65" t="s">
        <v>27</v>
      </c>
      <c r="L706" s="53">
        <f>VLOOKUP(D706,'UPah &amp; Bahan oke'!$D$9:$H$169,5,0)</f>
        <v>0</v>
      </c>
      <c r="M706" s="65" t="s">
        <v>10</v>
      </c>
      <c r="N706" s="65" t="s">
        <v>27</v>
      </c>
      <c r="O706" s="80">
        <f>L706*H706</f>
        <v>0</v>
      </c>
    </row>
    <row r="707" spans="2:15" ht="20.100000000000001" hidden="1" customHeight="1" x14ac:dyDescent="0.3">
      <c r="B707" s="67"/>
      <c r="C707" s="67"/>
      <c r="H707" s="57"/>
      <c r="I707" s="65"/>
      <c r="J707" s="65"/>
      <c r="K707" s="67" t="s">
        <v>13</v>
      </c>
      <c r="M707" s="65" t="s">
        <v>10</v>
      </c>
      <c r="N707" s="65" t="s">
        <v>27</v>
      </c>
      <c r="O707" s="90">
        <f>SUM(O706)</f>
        <v>0</v>
      </c>
    </row>
    <row r="708" spans="2:15" ht="20.100000000000001" hidden="1" customHeight="1" x14ac:dyDescent="0.3">
      <c r="B708" s="55"/>
      <c r="C708" s="55" t="s">
        <v>271</v>
      </c>
      <c r="D708" s="56" t="s">
        <v>15</v>
      </c>
      <c r="H708" s="57"/>
      <c r="I708" s="65"/>
      <c r="J708" s="65"/>
      <c r="K708" s="65"/>
      <c r="M708" s="65"/>
      <c r="N708" s="65"/>
      <c r="O708" s="80"/>
    </row>
    <row r="709" spans="2:15" ht="20.100000000000001" hidden="1" customHeight="1" x14ac:dyDescent="0.3">
      <c r="B709" s="59"/>
      <c r="C709" s="59"/>
      <c r="D709" s="52" t="s">
        <v>17</v>
      </c>
      <c r="H709" s="57">
        <v>1.4999999999999999E-2</v>
      </c>
      <c r="I709" s="65" t="s">
        <v>16</v>
      </c>
      <c r="J709" s="65" t="s">
        <v>8</v>
      </c>
      <c r="K709" s="65" t="s">
        <v>27</v>
      </c>
      <c r="L709" s="53">
        <f>VLOOKUP(D709,'UPah &amp; Bahan oke'!$D$9:$H$169,5,0)</f>
        <v>110000</v>
      </c>
      <c r="M709" s="65" t="s">
        <v>10</v>
      </c>
      <c r="N709" s="67" t="s">
        <v>27</v>
      </c>
      <c r="O709" s="80">
        <f>L709*H709</f>
        <v>1650</v>
      </c>
    </row>
    <row r="710" spans="2:15" ht="20.100000000000001" hidden="1" customHeight="1" x14ac:dyDescent="0.3">
      <c r="B710" s="59"/>
      <c r="C710" s="59"/>
      <c r="D710" s="52" t="s">
        <v>103</v>
      </c>
      <c r="H710" s="57">
        <v>0.15</v>
      </c>
      <c r="I710" s="65" t="s">
        <v>16</v>
      </c>
      <c r="J710" s="65" t="s">
        <v>8</v>
      </c>
      <c r="K710" s="65" t="s">
        <v>27</v>
      </c>
      <c r="L710" s="53">
        <f>VLOOKUP(D710,'UPah &amp; Bahan oke'!$D$9:$H$169,5,0)</f>
        <v>153000</v>
      </c>
      <c r="M710" s="65" t="s">
        <v>10</v>
      </c>
      <c r="N710" s="67" t="s">
        <v>27</v>
      </c>
      <c r="O710" s="80">
        <f>L710*H710</f>
        <v>22950</v>
      </c>
    </row>
    <row r="711" spans="2:15" ht="20.100000000000001" hidden="1" customHeight="1" x14ac:dyDescent="0.3">
      <c r="B711" s="59"/>
      <c r="C711" s="59"/>
      <c r="D711" s="52" t="s">
        <v>93</v>
      </c>
      <c r="H711" s="57">
        <v>1.4999999999999999E-2</v>
      </c>
      <c r="I711" s="65" t="s">
        <v>16</v>
      </c>
      <c r="J711" s="65" t="s">
        <v>8</v>
      </c>
      <c r="K711" s="65" t="s">
        <v>27</v>
      </c>
      <c r="L711" s="53">
        <f>VLOOKUP(D711,'UPah &amp; Bahan oke'!$D$9:$H$169,5,0)</f>
        <v>170000</v>
      </c>
      <c r="M711" s="65" t="s">
        <v>10</v>
      </c>
      <c r="N711" s="67" t="s">
        <v>27</v>
      </c>
      <c r="O711" s="80">
        <f>L711*H711</f>
        <v>2550</v>
      </c>
    </row>
    <row r="712" spans="2:15" ht="20.100000000000001" hidden="1" customHeight="1" x14ac:dyDescent="0.3">
      <c r="B712" s="59"/>
      <c r="C712" s="59"/>
      <c r="D712" s="52" t="s">
        <v>19</v>
      </c>
      <c r="H712" s="123">
        <v>7.5000000000000002E-4</v>
      </c>
      <c r="I712" s="65" t="s">
        <v>16</v>
      </c>
      <c r="J712" s="65" t="s">
        <v>8</v>
      </c>
      <c r="K712" s="65" t="s">
        <v>27</v>
      </c>
      <c r="L712" s="53">
        <f>VLOOKUP(D712,'UPah &amp; Bahan oke'!$D$9:$H$169,5,0)</f>
        <v>150000</v>
      </c>
      <c r="M712" s="65" t="s">
        <v>10</v>
      </c>
      <c r="N712" s="67" t="s">
        <v>27</v>
      </c>
      <c r="O712" s="80">
        <f>L712*H712</f>
        <v>112.5</v>
      </c>
    </row>
    <row r="713" spans="2:15" ht="20.100000000000001" hidden="1" customHeight="1" x14ac:dyDescent="0.3">
      <c r="B713" s="67"/>
      <c r="C713" s="67"/>
      <c r="H713" s="57"/>
      <c r="I713" s="65"/>
      <c r="J713" s="65"/>
      <c r="K713" s="67" t="s">
        <v>20</v>
      </c>
      <c r="M713" s="65" t="s">
        <v>10</v>
      </c>
      <c r="N713" s="67" t="s">
        <v>27</v>
      </c>
      <c r="O713" s="92">
        <f>SUM(O709:O712)</f>
        <v>27262.5</v>
      </c>
    </row>
    <row r="714" spans="2:15" ht="20.100000000000001" hidden="1" customHeight="1" x14ac:dyDescent="0.3">
      <c r="B714" s="67"/>
      <c r="C714" s="67"/>
      <c r="H714" s="57"/>
      <c r="I714" s="65"/>
      <c r="J714" s="65"/>
      <c r="K714" s="67" t="s">
        <v>21</v>
      </c>
      <c r="M714" s="65" t="s">
        <v>10</v>
      </c>
      <c r="N714" s="67" t="s">
        <v>27</v>
      </c>
      <c r="O714" s="127">
        <f>O713+O707</f>
        <v>27262.5</v>
      </c>
    </row>
    <row r="715" spans="2:15" ht="20.100000000000001" hidden="1" customHeight="1" x14ac:dyDescent="0.3">
      <c r="B715" s="67"/>
      <c r="C715" s="67"/>
      <c r="H715" s="57"/>
      <c r="I715" s="65"/>
      <c r="J715" s="65"/>
      <c r="K715" s="65"/>
      <c r="M715" s="65"/>
      <c r="N715" s="65"/>
      <c r="O715" s="80"/>
    </row>
    <row r="716" spans="2:15" ht="20.100000000000001" hidden="1" customHeight="1" x14ac:dyDescent="0.3">
      <c r="B716" s="55" t="s">
        <v>268</v>
      </c>
      <c r="C716" s="55" t="s">
        <v>379</v>
      </c>
      <c r="D716" s="56" t="s">
        <v>363</v>
      </c>
      <c r="E716" s="56" t="s">
        <v>364</v>
      </c>
      <c r="H716" s="57"/>
      <c r="I716" s="65"/>
      <c r="J716" s="65"/>
      <c r="K716" s="65"/>
      <c r="M716" s="65"/>
      <c r="N716" s="65"/>
      <c r="O716" s="80"/>
    </row>
    <row r="717" spans="2:15" ht="20.100000000000001" hidden="1" customHeight="1" x14ac:dyDescent="0.3">
      <c r="B717" s="55"/>
      <c r="C717" s="55" t="s">
        <v>272</v>
      </c>
      <c r="D717" s="56" t="s">
        <v>5</v>
      </c>
      <c r="H717" s="57"/>
      <c r="I717" s="65"/>
      <c r="J717" s="65"/>
      <c r="K717" s="65"/>
      <c r="M717" s="65"/>
      <c r="N717" s="65"/>
      <c r="O717" s="80"/>
    </row>
    <row r="718" spans="2:15" ht="20.100000000000001" hidden="1" customHeight="1" x14ac:dyDescent="0.3">
      <c r="B718" s="59"/>
      <c r="C718" s="59" t="s">
        <v>29</v>
      </c>
      <c r="D718" s="52" t="s">
        <v>188</v>
      </c>
      <c r="H718" s="57">
        <v>1</v>
      </c>
      <c r="I718" s="65" t="s">
        <v>58</v>
      </c>
      <c r="J718" s="65" t="s">
        <v>8</v>
      </c>
      <c r="K718" s="65" t="s">
        <v>27</v>
      </c>
      <c r="L718" s="53">
        <f>VLOOKUP(D718,'UPah &amp; Bahan oke'!$D$9:$H$169,5,0)</f>
        <v>0</v>
      </c>
      <c r="M718" s="65" t="s">
        <v>10</v>
      </c>
      <c r="N718" s="65" t="s">
        <v>27</v>
      </c>
      <c r="O718" s="80">
        <f>L718*H718</f>
        <v>0</v>
      </c>
    </row>
    <row r="719" spans="2:15" ht="20.100000000000001" hidden="1" customHeight="1" x14ac:dyDescent="0.3">
      <c r="B719" s="67"/>
      <c r="C719" s="67"/>
      <c r="H719" s="57"/>
      <c r="I719" s="65"/>
      <c r="J719" s="65"/>
      <c r="K719" s="67" t="s">
        <v>13</v>
      </c>
      <c r="M719" s="65" t="s">
        <v>10</v>
      </c>
      <c r="N719" s="65" t="s">
        <v>27</v>
      </c>
      <c r="O719" s="90">
        <f>SUM(O718)</f>
        <v>0</v>
      </c>
    </row>
    <row r="720" spans="2:15" ht="20.100000000000001" hidden="1" customHeight="1" x14ac:dyDescent="0.3">
      <c r="B720" s="55"/>
      <c r="C720" s="55" t="s">
        <v>273</v>
      </c>
      <c r="D720" s="56" t="s">
        <v>15</v>
      </c>
      <c r="H720" s="57"/>
      <c r="I720" s="65"/>
      <c r="J720" s="65"/>
      <c r="K720" s="65"/>
      <c r="M720" s="65"/>
      <c r="N720" s="65"/>
      <c r="O720" s="80"/>
    </row>
    <row r="721" spans="2:15" ht="20.100000000000001" hidden="1" customHeight="1" x14ac:dyDescent="0.3">
      <c r="B721" s="59"/>
      <c r="C721" s="59"/>
      <c r="D721" s="52" t="s">
        <v>17</v>
      </c>
      <c r="H721" s="57">
        <v>0.01</v>
      </c>
      <c r="I721" s="65" t="s">
        <v>16</v>
      </c>
      <c r="J721" s="65" t="s">
        <v>8</v>
      </c>
      <c r="K721" s="65" t="s">
        <v>27</v>
      </c>
      <c r="L721" s="53">
        <f>VLOOKUP(D721,'UPah &amp; Bahan oke'!$D$9:$H$169,5,0)</f>
        <v>110000</v>
      </c>
      <c r="M721" s="65" t="s">
        <v>10</v>
      </c>
      <c r="N721" s="67" t="s">
        <v>27</v>
      </c>
      <c r="O721" s="80">
        <f>L721*H721</f>
        <v>1100</v>
      </c>
    </row>
    <row r="722" spans="2:15" ht="20.100000000000001" hidden="1" customHeight="1" x14ac:dyDescent="0.3">
      <c r="B722" s="59"/>
      <c r="C722" s="59"/>
      <c r="D722" s="52" t="s">
        <v>103</v>
      </c>
      <c r="H722" s="57">
        <v>0.1</v>
      </c>
      <c r="I722" s="65" t="s">
        <v>16</v>
      </c>
      <c r="J722" s="65" t="s">
        <v>8</v>
      </c>
      <c r="K722" s="65" t="s">
        <v>27</v>
      </c>
      <c r="L722" s="53">
        <f>VLOOKUP(D722,'UPah &amp; Bahan oke'!$D$9:$H$169,5,0)</f>
        <v>153000</v>
      </c>
      <c r="M722" s="65" t="s">
        <v>10</v>
      </c>
      <c r="N722" s="67" t="s">
        <v>27</v>
      </c>
      <c r="O722" s="80">
        <f>L722*H722</f>
        <v>15300</v>
      </c>
    </row>
    <row r="723" spans="2:15" ht="20.100000000000001" hidden="1" customHeight="1" x14ac:dyDescent="0.3">
      <c r="B723" s="59"/>
      <c r="C723" s="59"/>
      <c r="D723" s="52" t="s">
        <v>93</v>
      </c>
      <c r="H723" s="57">
        <v>0.01</v>
      </c>
      <c r="I723" s="65" t="s">
        <v>16</v>
      </c>
      <c r="J723" s="65" t="s">
        <v>8</v>
      </c>
      <c r="K723" s="65" t="s">
        <v>27</v>
      </c>
      <c r="L723" s="53">
        <f>VLOOKUP(D723,'UPah &amp; Bahan oke'!$D$9:$H$169,5,0)</f>
        <v>170000</v>
      </c>
      <c r="M723" s="65" t="s">
        <v>10</v>
      </c>
      <c r="N723" s="67" t="s">
        <v>27</v>
      </c>
      <c r="O723" s="80">
        <f>L723*H723</f>
        <v>1700</v>
      </c>
    </row>
    <row r="724" spans="2:15" ht="20.100000000000001" hidden="1" customHeight="1" x14ac:dyDescent="0.3">
      <c r="B724" s="59"/>
      <c r="C724" s="59"/>
      <c r="D724" s="52" t="s">
        <v>19</v>
      </c>
      <c r="H724" s="96">
        <v>5.0000000000000001E-4</v>
      </c>
      <c r="I724" s="65" t="s">
        <v>16</v>
      </c>
      <c r="J724" s="65" t="s">
        <v>8</v>
      </c>
      <c r="K724" s="65" t="s">
        <v>27</v>
      </c>
      <c r="L724" s="53">
        <f>VLOOKUP(D724,'UPah &amp; Bahan oke'!$D$9:$H$169,5,0)</f>
        <v>150000</v>
      </c>
      <c r="M724" s="65" t="s">
        <v>10</v>
      </c>
      <c r="N724" s="67" t="s">
        <v>27</v>
      </c>
      <c r="O724" s="80">
        <f>L724*H724</f>
        <v>75</v>
      </c>
    </row>
    <row r="725" spans="2:15" ht="20.100000000000001" hidden="1" customHeight="1" x14ac:dyDescent="0.3">
      <c r="B725" s="67"/>
      <c r="C725" s="67"/>
      <c r="H725" s="57"/>
      <c r="I725" s="65"/>
      <c r="J725" s="65"/>
      <c r="K725" s="67" t="s">
        <v>20</v>
      </c>
      <c r="M725" s="65" t="s">
        <v>10</v>
      </c>
      <c r="N725" s="67" t="s">
        <v>27</v>
      </c>
      <c r="O725" s="92">
        <f>SUM(O721:O724)</f>
        <v>18175</v>
      </c>
    </row>
    <row r="726" spans="2:15" ht="20.100000000000001" hidden="1" customHeight="1" x14ac:dyDescent="0.3">
      <c r="B726" s="67"/>
      <c r="C726" s="67"/>
      <c r="H726" s="57"/>
      <c r="I726" s="65"/>
      <c r="J726" s="65"/>
      <c r="K726" s="67" t="s">
        <v>21</v>
      </c>
      <c r="M726" s="65" t="s">
        <v>10</v>
      </c>
      <c r="N726" s="67" t="s">
        <v>27</v>
      </c>
      <c r="O726" s="127">
        <f>O725+O719</f>
        <v>18175</v>
      </c>
    </row>
    <row r="727" spans="2:15" ht="20.100000000000001" hidden="1" customHeight="1" x14ac:dyDescent="0.3">
      <c r="B727" s="116"/>
      <c r="C727" s="116"/>
      <c r="D727" s="118"/>
      <c r="E727" s="118"/>
      <c r="F727" s="118"/>
      <c r="H727" s="118"/>
      <c r="I727" s="124"/>
      <c r="J727" s="125"/>
      <c r="K727" s="120"/>
      <c r="L727" s="121"/>
      <c r="M727" s="66"/>
      <c r="N727" s="120"/>
      <c r="O727" s="120"/>
    </row>
    <row r="728" spans="2:15" ht="20.100000000000001" hidden="1" customHeight="1" x14ac:dyDescent="0.3">
      <c r="B728" s="55" t="s">
        <v>268</v>
      </c>
      <c r="C728" s="55" t="s">
        <v>336</v>
      </c>
      <c r="D728" s="56" t="s">
        <v>363</v>
      </c>
      <c r="E728" s="56" t="s">
        <v>372</v>
      </c>
      <c r="H728" s="57"/>
      <c r="I728" s="65"/>
      <c r="J728" s="65"/>
      <c r="K728" s="65"/>
      <c r="M728" s="65"/>
      <c r="N728" s="65"/>
      <c r="O728" s="80"/>
    </row>
    <row r="729" spans="2:15" ht="20.100000000000001" hidden="1" customHeight="1" x14ac:dyDescent="0.3">
      <c r="B729" s="55"/>
      <c r="C729" s="55" t="s">
        <v>274</v>
      </c>
      <c r="D729" s="56" t="s">
        <v>5</v>
      </c>
      <c r="H729" s="57"/>
      <c r="I729" s="65"/>
      <c r="J729" s="65"/>
      <c r="K729" s="65"/>
      <c r="M729" s="65"/>
      <c r="N729" s="65"/>
      <c r="O729" s="80"/>
    </row>
    <row r="730" spans="2:15" ht="20.100000000000001" hidden="1" customHeight="1" x14ac:dyDescent="0.3">
      <c r="B730" s="59"/>
      <c r="C730" s="59" t="s">
        <v>29</v>
      </c>
      <c r="D730" s="52" t="s">
        <v>190</v>
      </c>
      <c r="H730" s="57">
        <v>1</v>
      </c>
      <c r="I730" s="65" t="s">
        <v>58</v>
      </c>
      <c r="J730" s="65" t="s">
        <v>8</v>
      </c>
      <c r="K730" s="65" t="s">
        <v>27</v>
      </c>
      <c r="L730" s="53">
        <f>VLOOKUP(D730,'UPah &amp; Bahan oke'!$D$9:$H$169,5,0)</f>
        <v>0</v>
      </c>
      <c r="M730" s="65" t="s">
        <v>10</v>
      </c>
      <c r="N730" s="65" t="s">
        <v>27</v>
      </c>
      <c r="O730" s="80">
        <f>L730*H730</f>
        <v>0</v>
      </c>
    </row>
    <row r="731" spans="2:15" ht="20.100000000000001" hidden="1" customHeight="1" x14ac:dyDescent="0.3">
      <c r="B731" s="67"/>
      <c r="C731" s="67"/>
      <c r="H731" s="57"/>
      <c r="I731" s="65"/>
      <c r="J731" s="65"/>
      <c r="K731" s="67" t="s">
        <v>13</v>
      </c>
      <c r="M731" s="65" t="s">
        <v>10</v>
      </c>
      <c r="N731" s="65" t="s">
        <v>27</v>
      </c>
      <c r="O731" s="90">
        <f>SUM(O730)</f>
        <v>0</v>
      </c>
    </row>
    <row r="732" spans="2:15" ht="20.100000000000001" hidden="1" customHeight="1" x14ac:dyDescent="0.3">
      <c r="B732" s="55"/>
      <c r="C732" s="55" t="s">
        <v>63</v>
      </c>
      <c r="D732" s="56" t="s">
        <v>15</v>
      </c>
      <c r="H732" s="57"/>
      <c r="I732" s="65"/>
      <c r="J732" s="65"/>
      <c r="K732" s="65"/>
      <c r="M732" s="65"/>
      <c r="N732" s="65"/>
      <c r="O732" s="80"/>
    </row>
    <row r="733" spans="2:15" ht="20.100000000000001" hidden="1" customHeight="1" x14ac:dyDescent="0.3">
      <c r="B733" s="59"/>
      <c r="C733" s="59"/>
      <c r="D733" s="52" t="s">
        <v>17</v>
      </c>
      <c r="H733" s="57">
        <v>1.4999999999999999E-2</v>
      </c>
      <c r="I733" s="65" t="s">
        <v>16</v>
      </c>
      <c r="J733" s="65" t="s">
        <v>8</v>
      </c>
      <c r="K733" s="65" t="s">
        <v>27</v>
      </c>
      <c r="L733" s="53">
        <f>VLOOKUP(D733,'UPah &amp; Bahan oke'!$D$9:$H$169,5,0)</f>
        <v>110000</v>
      </c>
      <c r="M733" s="65" t="s">
        <v>10</v>
      </c>
      <c r="N733" s="67" t="s">
        <v>27</v>
      </c>
      <c r="O733" s="80">
        <f>L733*H733</f>
        <v>1650</v>
      </c>
    </row>
    <row r="734" spans="2:15" ht="20.100000000000001" hidden="1" customHeight="1" x14ac:dyDescent="0.3">
      <c r="B734" s="59"/>
      <c r="C734" s="59"/>
      <c r="D734" s="52" t="s">
        <v>103</v>
      </c>
      <c r="H734" s="57">
        <v>0.15</v>
      </c>
      <c r="I734" s="65" t="s">
        <v>16</v>
      </c>
      <c r="J734" s="65" t="s">
        <v>8</v>
      </c>
      <c r="K734" s="65" t="s">
        <v>27</v>
      </c>
      <c r="L734" s="53">
        <f>VLOOKUP(D734,'UPah &amp; Bahan oke'!$D$9:$H$169,5,0)</f>
        <v>153000</v>
      </c>
      <c r="M734" s="65" t="s">
        <v>10</v>
      </c>
      <c r="N734" s="67" t="s">
        <v>27</v>
      </c>
      <c r="O734" s="80">
        <f>L734*H734</f>
        <v>22950</v>
      </c>
    </row>
    <row r="735" spans="2:15" ht="20.100000000000001" hidden="1" customHeight="1" x14ac:dyDescent="0.3">
      <c r="B735" s="59"/>
      <c r="C735" s="59"/>
      <c r="D735" s="52" t="s">
        <v>93</v>
      </c>
      <c r="H735" s="57">
        <v>1.4999999999999999E-2</v>
      </c>
      <c r="I735" s="65" t="s">
        <v>16</v>
      </c>
      <c r="J735" s="65" t="s">
        <v>8</v>
      </c>
      <c r="K735" s="65" t="s">
        <v>27</v>
      </c>
      <c r="L735" s="53">
        <f>VLOOKUP(D735,'UPah &amp; Bahan oke'!$D$9:$H$169,5,0)</f>
        <v>170000</v>
      </c>
      <c r="M735" s="65" t="s">
        <v>10</v>
      </c>
      <c r="N735" s="67" t="s">
        <v>27</v>
      </c>
      <c r="O735" s="80">
        <f>L735*H735</f>
        <v>2550</v>
      </c>
    </row>
    <row r="736" spans="2:15" ht="20.100000000000001" hidden="1" customHeight="1" x14ac:dyDescent="0.3">
      <c r="B736" s="59"/>
      <c r="C736" s="59"/>
      <c r="D736" s="52" t="s">
        <v>19</v>
      </c>
      <c r="H736" s="123">
        <v>7.5000000000000002E-4</v>
      </c>
      <c r="I736" s="65" t="s">
        <v>16</v>
      </c>
      <c r="J736" s="65" t="s">
        <v>8</v>
      </c>
      <c r="K736" s="65" t="s">
        <v>27</v>
      </c>
      <c r="L736" s="53">
        <f>VLOOKUP(D736,'UPah &amp; Bahan oke'!$D$9:$H$169,5,0)</f>
        <v>150000</v>
      </c>
      <c r="M736" s="65" t="s">
        <v>10</v>
      </c>
      <c r="N736" s="67" t="s">
        <v>27</v>
      </c>
      <c r="O736" s="80">
        <f>L736*H736</f>
        <v>112.5</v>
      </c>
    </row>
    <row r="737" spans="2:15" ht="20.100000000000001" hidden="1" customHeight="1" x14ac:dyDescent="0.3">
      <c r="B737" s="67"/>
      <c r="C737" s="67"/>
      <c r="H737" s="57"/>
      <c r="I737" s="65"/>
      <c r="J737" s="65"/>
      <c r="K737" s="67" t="s">
        <v>20</v>
      </c>
      <c r="M737" s="65" t="s">
        <v>10</v>
      </c>
      <c r="N737" s="67" t="s">
        <v>27</v>
      </c>
      <c r="O737" s="92">
        <f>SUM(O733:O736)</f>
        <v>27262.5</v>
      </c>
    </row>
    <row r="738" spans="2:15" ht="20.100000000000001" hidden="1" customHeight="1" x14ac:dyDescent="0.3">
      <c r="B738" s="67"/>
      <c r="C738" s="67"/>
      <c r="H738" s="57"/>
      <c r="I738" s="65"/>
      <c r="J738" s="65"/>
      <c r="K738" s="67" t="s">
        <v>21</v>
      </c>
      <c r="M738" s="65" t="s">
        <v>10</v>
      </c>
      <c r="N738" s="67" t="s">
        <v>27</v>
      </c>
      <c r="O738" s="127">
        <f>O737+O731</f>
        <v>27262.5</v>
      </c>
    </row>
    <row r="739" spans="2:15" ht="20.100000000000001" hidden="1" customHeight="1" x14ac:dyDescent="0.3">
      <c r="B739" s="67"/>
      <c r="C739" s="67"/>
      <c r="H739" s="57"/>
      <c r="I739" s="65"/>
      <c r="J739" s="65"/>
      <c r="K739" s="67"/>
      <c r="M739" s="65"/>
      <c r="N739" s="67"/>
      <c r="O739" s="80"/>
    </row>
    <row r="740" spans="2:15" ht="20.100000000000001" hidden="1" customHeight="1" x14ac:dyDescent="0.3">
      <c r="B740" s="55" t="s">
        <v>268</v>
      </c>
      <c r="C740" s="55" t="s">
        <v>366</v>
      </c>
      <c r="D740" s="56" t="s">
        <v>365</v>
      </c>
      <c r="E740" s="56" t="s">
        <v>280</v>
      </c>
      <c r="H740" s="57"/>
      <c r="I740" s="65"/>
      <c r="J740" s="65"/>
      <c r="K740" s="65"/>
      <c r="M740" s="65"/>
      <c r="N740" s="65"/>
      <c r="O740" s="80"/>
    </row>
    <row r="741" spans="2:15" ht="20.100000000000001" hidden="1" customHeight="1" x14ac:dyDescent="0.3">
      <c r="B741" s="55"/>
      <c r="C741" s="55" t="s">
        <v>236</v>
      </c>
      <c r="D741" s="56" t="s">
        <v>5</v>
      </c>
      <c r="H741" s="57"/>
      <c r="I741" s="65"/>
      <c r="J741" s="65"/>
      <c r="K741" s="65"/>
      <c r="M741" s="65"/>
      <c r="N741" s="65"/>
      <c r="O741" s="80"/>
    </row>
    <row r="742" spans="2:15" ht="20.100000000000001" hidden="1" customHeight="1" x14ac:dyDescent="0.3">
      <c r="B742" s="59"/>
      <c r="C742" s="59" t="s">
        <v>29</v>
      </c>
      <c r="D742" s="52" t="s">
        <v>189</v>
      </c>
      <c r="H742" s="57">
        <v>1</v>
      </c>
      <c r="I742" s="65" t="s">
        <v>58</v>
      </c>
      <c r="J742" s="65" t="s">
        <v>8</v>
      </c>
      <c r="K742" s="65" t="s">
        <v>27</v>
      </c>
      <c r="L742" s="53">
        <f>VLOOKUP(D742,'UPah &amp; Bahan oke'!$D$9:$H$169,5,0)</f>
        <v>0</v>
      </c>
      <c r="M742" s="65" t="s">
        <v>10</v>
      </c>
      <c r="N742" s="65" t="s">
        <v>27</v>
      </c>
      <c r="O742" s="80">
        <f>L742*H742</f>
        <v>0</v>
      </c>
    </row>
    <row r="743" spans="2:15" ht="20.100000000000001" hidden="1" customHeight="1" x14ac:dyDescent="0.3">
      <c r="B743" s="67"/>
      <c r="C743" s="67"/>
      <c r="H743" s="57"/>
      <c r="I743" s="65"/>
      <c r="J743" s="65"/>
      <c r="K743" s="67" t="s">
        <v>13</v>
      </c>
      <c r="M743" s="65" t="s">
        <v>10</v>
      </c>
      <c r="N743" s="65" t="s">
        <v>27</v>
      </c>
      <c r="O743" s="90">
        <f>SUM(O742)</f>
        <v>0</v>
      </c>
    </row>
    <row r="744" spans="2:15" ht="20.100000000000001" hidden="1" customHeight="1" x14ac:dyDescent="0.3">
      <c r="B744" s="55"/>
      <c r="C744" s="55" t="s">
        <v>279</v>
      </c>
      <c r="D744" s="56" t="s">
        <v>15</v>
      </c>
      <c r="H744" s="57"/>
      <c r="I744" s="65"/>
      <c r="J744" s="65"/>
      <c r="K744" s="65"/>
      <c r="M744" s="65"/>
      <c r="N744" s="65"/>
      <c r="O744" s="80"/>
    </row>
    <row r="745" spans="2:15" hidden="1" x14ac:dyDescent="0.3">
      <c r="B745" s="59"/>
      <c r="C745" s="59"/>
      <c r="D745" s="52" t="s">
        <v>17</v>
      </c>
      <c r="H745" s="57">
        <v>1.4999999999999999E-2</v>
      </c>
      <c r="I745" s="65" t="s">
        <v>16</v>
      </c>
      <c r="J745" s="65" t="s">
        <v>8</v>
      </c>
      <c r="K745" s="65" t="s">
        <v>27</v>
      </c>
      <c r="L745" s="53">
        <f>VLOOKUP(D745,'UPah &amp; Bahan oke'!$D$9:$H$169,5,0)</f>
        <v>110000</v>
      </c>
      <c r="M745" s="65" t="s">
        <v>10</v>
      </c>
      <c r="N745" s="67" t="s">
        <v>27</v>
      </c>
      <c r="O745" s="80">
        <f>L745*H745</f>
        <v>1650</v>
      </c>
    </row>
    <row r="746" spans="2:15" hidden="1" x14ac:dyDescent="0.3">
      <c r="B746" s="59"/>
      <c r="C746" s="59"/>
      <c r="D746" s="52" t="s">
        <v>103</v>
      </c>
      <c r="H746" s="57">
        <v>0.15</v>
      </c>
      <c r="I746" s="65" t="s">
        <v>16</v>
      </c>
      <c r="J746" s="65" t="s">
        <v>8</v>
      </c>
      <c r="K746" s="65" t="s">
        <v>27</v>
      </c>
      <c r="L746" s="53">
        <f>VLOOKUP(D746,'UPah &amp; Bahan oke'!$D$9:$H$169,5,0)</f>
        <v>153000</v>
      </c>
      <c r="M746" s="65" t="s">
        <v>10</v>
      </c>
      <c r="N746" s="67" t="s">
        <v>27</v>
      </c>
      <c r="O746" s="80">
        <f>L746*H746</f>
        <v>22950</v>
      </c>
    </row>
    <row r="747" spans="2:15" hidden="1" x14ac:dyDescent="0.3">
      <c r="B747" s="59"/>
      <c r="C747" s="59"/>
      <c r="D747" s="52" t="s">
        <v>93</v>
      </c>
      <c r="H747" s="57">
        <v>1.4999999999999999E-2</v>
      </c>
      <c r="I747" s="65" t="s">
        <v>16</v>
      </c>
      <c r="J747" s="65" t="s">
        <v>8</v>
      </c>
      <c r="K747" s="65" t="s">
        <v>27</v>
      </c>
      <c r="L747" s="53">
        <f>VLOOKUP(D747,'UPah &amp; Bahan oke'!$D$9:$H$169,5,0)</f>
        <v>170000</v>
      </c>
      <c r="M747" s="65" t="s">
        <v>10</v>
      </c>
      <c r="N747" s="67" t="s">
        <v>27</v>
      </c>
      <c r="O747" s="80">
        <f>L747*H747</f>
        <v>2550</v>
      </c>
    </row>
    <row r="748" spans="2:15" hidden="1" x14ac:dyDescent="0.3">
      <c r="B748" s="59"/>
      <c r="C748" s="59"/>
      <c r="D748" s="52" t="s">
        <v>19</v>
      </c>
      <c r="H748" s="123">
        <v>7.5000000000000002E-4</v>
      </c>
      <c r="I748" s="65" t="s">
        <v>16</v>
      </c>
      <c r="J748" s="65" t="s">
        <v>8</v>
      </c>
      <c r="K748" s="65" t="s">
        <v>27</v>
      </c>
      <c r="L748" s="53">
        <f>VLOOKUP(D748,'UPah &amp; Bahan oke'!$D$9:$H$169,5,0)</f>
        <v>150000</v>
      </c>
      <c r="M748" s="65" t="s">
        <v>10</v>
      </c>
      <c r="N748" s="67" t="s">
        <v>27</v>
      </c>
      <c r="O748" s="80">
        <f>L748*H748</f>
        <v>112.5</v>
      </c>
    </row>
    <row r="749" spans="2:15" hidden="1" x14ac:dyDescent="0.3">
      <c r="B749" s="67"/>
      <c r="C749" s="67"/>
      <c r="H749" s="57"/>
      <c r="I749" s="65"/>
      <c r="J749" s="65"/>
      <c r="K749" s="67" t="s">
        <v>20</v>
      </c>
      <c r="M749" s="65" t="s">
        <v>10</v>
      </c>
      <c r="N749" s="67" t="s">
        <v>27</v>
      </c>
      <c r="O749" s="92">
        <f>SUM(O745:O748)</f>
        <v>27262.5</v>
      </c>
    </row>
    <row r="750" spans="2:15" hidden="1" x14ac:dyDescent="0.3">
      <c r="B750" s="67"/>
      <c r="C750" s="67"/>
      <c r="H750" s="57"/>
      <c r="I750" s="65"/>
      <c r="J750" s="65"/>
      <c r="K750" s="67" t="s">
        <v>21</v>
      </c>
      <c r="M750" s="65" t="s">
        <v>10</v>
      </c>
      <c r="N750" s="67" t="s">
        <v>27</v>
      </c>
      <c r="O750" s="127">
        <f>O749+O743</f>
        <v>27262.5</v>
      </c>
    </row>
    <row r="751" spans="2:15" hidden="1" x14ac:dyDescent="0.3">
      <c r="N751" s="53"/>
      <c r="O751" s="52"/>
    </row>
    <row r="752" spans="2:15" hidden="1" x14ac:dyDescent="0.3">
      <c r="B752" s="55" t="s">
        <v>268</v>
      </c>
      <c r="C752" s="55" t="s">
        <v>367</v>
      </c>
      <c r="D752" s="56" t="s">
        <v>363</v>
      </c>
      <c r="E752" s="56" t="s">
        <v>371</v>
      </c>
      <c r="H752" s="57"/>
      <c r="I752" s="65"/>
      <c r="J752" s="65"/>
      <c r="K752" s="65"/>
      <c r="M752" s="65"/>
      <c r="N752" s="65"/>
      <c r="O752" s="80"/>
    </row>
    <row r="753" spans="2:15" hidden="1" x14ac:dyDescent="0.3">
      <c r="B753" s="55"/>
      <c r="C753" s="55" t="s">
        <v>275</v>
      </c>
      <c r="D753" s="56" t="s">
        <v>5</v>
      </c>
      <c r="H753" s="57"/>
      <c r="I753" s="65"/>
      <c r="J753" s="65"/>
      <c r="K753" s="65"/>
      <c r="M753" s="65"/>
      <c r="N753" s="65"/>
      <c r="O753" s="80"/>
    </row>
    <row r="754" spans="2:15" hidden="1" x14ac:dyDescent="0.3">
      <c r="B754" s="59"/>
      <c r="C754" s="59" t="s">
        <v>29</v>
      </c>
      <c r="D754" s="52" t="s">
        <v>223</v>
      </c>
      <c r="H754" s="57">
        <v>1</v>
      </c>
      <c r="I754" s="65" t="s">
        <v>235</v>
      </c>
      <c r="J754" s="65" t="s">
        <v>8</v>
      </c>
      <c r="K754" s="65" t="s">
        <v>27</v>
      </c>
      <c r="L754" s="53">
        <f>VLOOKUP(D754,'UPah &amp; Bahan oke'!$D$9:$H$169,5,0)</f>
        <v>0</v>
      </c>
      <c r="M754" s="65" t="s">
        <v>10</v>
      </c>
      <c r="N754" s="65" t="s">
        <v>27</v>
      </c>
      <c r="O754" s="80">
        <f>L754*H754</f>
        <v>0</v>
      </c>
    </row>
    <row r="755" spans="2:15" hidden="1" x14ac:dyDescent="0.3">
      <c r="B755" s="67"/>
      <c r="C755" s="67"/>
      <c r="H755" s="57"/>
      <c r="I755" s="65"/>
      <c r="J755" s="65"/>
      <c r="K755" s="67" t="s">
        <v>13</v>
      </c>
      <c r="M755" s="65" t="s">
        <v>10</v>
      </c>
      <c r="N755" s="65" t="s">
        <v>27</v>
      </c>
      <c r="O755" s="90">
        <f>SUM(O754)</f>
        <v>0</v>
      </c>
    </row>
    <row r="756" spans="2:15" hidden="1" x14ac:dyDescent="0.3">
      <c r="B756" s="55"/>
      <c r="C756" s="55" t="s">
        <v>276</v>
      </c>
      <c r="D756" s="56" t="s">
        <v>15</v>
      </c>
      <c r="H756" s="57"/>
      <c r="I756" s="65"/>
      <c r="J756" s="65"/>
      <c r="K756" s="65"/>
      <c r="M756" s="65"/>
      <c r="N756" s="65"/>
      <c r="O756" s="80"/>
    </row>
    <row r="757" spans="2:15" hidden="1" x14ac:dyDescent="0.3">
      <c r="B757" s="59"/>
      <c r="C757" s="59"/>
      <c r="D757" s="52" t="s">
        <v>17</v>
      </c>
      <c r="H757" s="57">
        <v>0.05</v>
      </c>
      <c r="I757" s="65" t="s">
        <v>16</v>
      </c>
      <c r="J757" s="65" t="s">
        <v>8</v>
      </c>
      <c r="K757" s="65" t="s">
        <v>27</v>
      </c>
      <c r="L757" s="53">
        <f>VLOOKUP(D757,'UPah &amp; Bahan oke'!$D$9:$H$169,5,0)</f>
        <v>110000</v>
      </c>
      <c r="M757" s="65" t="s">
        <v>10</v>
      </c>
      <c r="N757" s="67" t="s">
        <v>27</v>
      </c>
      <c r="O757" s="80">
        <f>L757*H757</f>
        <v>5500</v>
      </c>
    </row>
    <row r="758" spans="2:15" hidden="1" x14ac:dyDescent="0.3">
      <c r="B758" s="59"/>
      <c r="C758" s="59"/>
      <c r="D758" s="52" t="s">
        <v>103</v>
      </c>
      <c r="H758" s="57">
        <v>0.5</v>
      </c>
      <c r="I758" s="65" t="s">
        <v>16</v>
      </c>
      <c r="J758" s="65" t="s">
        <v>8</v>
      </c>
      <c r="K758" s="65" t="s">
        <v>27</v>
      </c>
      <c r="L758" s="53">
        <f>VLOOKUP(D758,'UPah &amp; Bahan oke'!$D$9:$H$169,5,0)</f>
        <v>153000</v>
      </c>
      <c r="M758" s="65" t="s">
        <v>10</v>
      </c>
      <c r="N758" s="67" t="s">
        <v>27</v>
      </c>
      <c r="O758" s="80">
        <f>L758*H758</f>
        <v>76500</v>
      </c>
    </row>
    <row r="759" spans="2:15" hidden="1" x14ac:dyDescent="0.3">
      <c r="B759" s="59"/>
      <c r="C759" s="59"/>
      <c r="D759" s="52" t="s">
        <v>93</v>
      </c>
      <c r="H759" s="57">
        <v>0.05</v>
      </c>
      <c r="I759" s="65" t="s">
        <v>16</v>
      </c>
      <c r="J759" s="65" t="s">
        <v>8</v>
      </c>
      <c r="K759" s="65" t="s">
        <v>27</v>
      </c>
      <c r="L759" s="53">
        <f>VLOOKUP(D759,'UPah &amp; Bahan oke'!$D$9:$H$169,5,0)</f>
        <v>170000</v>
      </c>
      <c r="M759" s="65" t="s">
        <v>10</v>
      </c>
      <c r="N759" s="67" t="s">
        <v>27</v>
      </c>
      <c r="O759" s="80">
        <f>L759*H759</f>
        <v>8500</v>
      </c>
    </row>
    <row r="760" spans="2:15" hidden="1" x14ac:dyDescent="0.3">
      <c r="B760" s="59"/>
      <c r="C760" s="59"/>
      <c r="D760" s="52" t="s">
        <v>19</v>
      </c>
      <c r="H760" s="96">
        <v>2.5000000000000001E-3</v>
      </c>
      <c r="I760" s="65" t="s">
        <v>16</v>
      </c>
      <c r="J760" s="65" t="s">
        <v>8</v>
      </c>
      <c r="K760" s="65" t="s">
        <v>27</v>
      </c>
      <c r="L760" s="53">
        <f>VLOOKUP(D760,'UPah &amp; Bahan oke'!$D$9:$H$169,5,0)</f>
        <v>150000</v>
      </c>
      <c r="M760" s="65" t="s">
        <v>10</v>
      </c>
      <c r="N760" s="67" t="s">
        <v>27</v>
      </c>
      <c r="O760" s="80">
        <f>L760*H760</f>
        <v>375</v>
      </c>
    </row>
    <row r="761" spans="2:15" hidden="1" x14ac:dyDescent="0.3">
      <c r="B761" s="67"/>
      <c r="C761" s="67"/>
      <c r="H761" s="57"/>
      <c r="I761" s="65"/>
      <c r="J761" s="65"/>
      <c r="K761" s="67" t="s">
        <v>20</v>
      </c>
      <c r="M761" s="65" t="s">
        <v>10</v>
      </c>
      <c r="N761" s="67" t="s">
        <v>27</v>
      </c>
      <c r="O761" s="92">
        <f>SUM(O757:O760)</f>
        <v>90875</v>
      </c>
    </row>
    <row r="762" spans="2:15" hidden="1" x14ac:dyDescent="0.3">
      <c r="B762" s="67"/>
      <c r="C762" s="67"/>
      <c r="H762" s="57"/>
      <c r="I762" s="65"/>
      <c r="J762" s="65"/>
      <c r="K762" s="67" t="s">
        <v>21</v>
      </c>
      <c r="M762" s="65" t="s">
        <v>10</v>
      </c>
      <c r="N762" s="67" t="s">
        <v>27</v>
      </c>
      <c r="O762" s="127">
        <f>O761+O755</f>
        <v>90875</v>
      </c>
    </row>
    <row r="763" spans="2:15" hidden="1" x14ac:dyDescent="0.3">
      <c r="B763" s="67"/>
      <c r="C763" s="67"/>
      <c r="H763" s="57"/>
      <c r="I763" s="65"/>
      <c r="J763" s="65"/>
      <c r="K763" s="67"/>
      <c r="M763" s="65"/>
      <c r="N763" s="67"/>
      <c r="O763" s="80"/>
    </row>
    <row r="764" spans="2:15" hidden="1" x14ac:dyDescent="0.3">
      <c r="B764" s="55" t="s">
        <v>268</v>
      </c>
      <c r="C764" s="55" t="s">
        <v>368</v>
      </c>
      <c r="D764" s="56" t="s">
        <v>363</v>
      </c>
      <c r="E764" s="56" t="s">
        <v>370</v>
      </c>
      <c r="H764" s="57"/>
      <c r="I764" s="65"/>
      <c r="J764" s="65"/>
      <c r="K764" s="65"/>
      <c r="M764" s="65"/>
      <c r="N764" s="65"/>
      <c r="O764" s="80"/>
    </row>
    <row r="765" spans="2:15" hidden="1" x14ac:dyDescent="0.3">
      <c r="B765" s="55"/>
      <c r="C765" s="55" t="s">
        <v>281</v>
      </c>
      <c r="D765" s="56" t="s">
        <v>5</v>
      </c>
      <c r="H765" s="57"/>
      <c r="I765" s="65"/>
      <c r="J765" s="65"/>
      <c r="K765" s="65"/>
      <c r="M765" s="65"/>
      <c r="N765" s="65"/>
      <c r="O765" s="80"/>
    </row>
    <row r="766" spans="2:15" hidden="1" x14ac:dyDescent="0.3">
      <c r="B766" s="59"/>
      <c r="C766" s="59" t="s">
        <v>29</v>
      </c>
      <c r="D766" s="52" t="s">
        <v>283</v>
      </c>
      <c r="H766" s="57">
        <v>1</v>
      </c>
      <c r="I766" s="65" t="s">
        <v>235</v>
      </c>
      <c r="J766" s="65" t="s">
        <v>8</v>
      </c>
      <c r="K766" s="65" t="s">
        <v>27</v>
      </c>
      <c r="L766" s="53">
        <f>VLOOKUP(D766,'UPah &amp; Bahan oke'!$D$9:$H$169,5,0)</f>
        <v>0</v>
      </c>
      <c r="M766" s="65" t="s">
        <v>10</v>
      </c>
      <c r="N766" s="65" t="s">
        <v>27</v>
      </c>
      <c r="O766" s="80">
        <f>L766*H766</f>
        <v>0</v>
      </c>
    </row>
    <row r="767" spans="2:15" hidden="1" x14ac:dyDescent="0.3">
      <c r="B767" s="67"/>
      <c r="C767" s="67"/>
      <c r="H767" s="57"/>
      <c r="I767" s="65"/>
      <c r="J767" s="65"/>
      <c r="K767" s="67" t="s">
        <v>13</v>
      </c>
      <c r="M767" s="65" t="s">
        <v>10</v>
      </c>
      <c r="N767" s="65" t="s">
        <v>27</v>
      </c>
      <c r="O767" s="90">
        <f>SUM(O766)</f>
        <v>0</v>
      </c>
    </row>
    <row r="768" spans="2:15" hidden="1" x14ac:dyDescent="0.3">
      <c r="B768" s="55"/>
      <c r="C768" s="55" t="s">
        <v>282</v>
      </c>
      <c r="D768" s="56" t="s">
        <v>15</v>
      </c>
      <c r="H768" s="57"/>
      <c r="I768" s="65"/>
      <c r="J768" s="65"/>
      <c r="K768" s="65"/>
      <c r="M768" s="65"/>
      <c r="N768" s="65"/>
      <c r="O768" s="80"/>
    </row>
    <row r="769" spans="2:15" hidden="1" x14ac:dyDescent="0.3">
      <c r="B769" s="59"/>
      <c r="C769" s="59"/>
      <c r="D769" s="52" t="s">
        <v>17</v>
      </c>
      <c r="H769" s="57">
        <v>0.05</v>
      </c>
      <c r="I769" s="65" t="s">
        <v>16</v>
      </c>
      <c r="J769" s="65" t="s">
        <v>8</v>
      </c>
      <c r="K769" s="65" t="s">
        <v>27</v>
      </c>
      <c r="L769" s="53">
        <f>VLOOKUP(D769,'UPah &amp; Bahan oke'!$D$9:$H$169,5,0)</f>
        <v>110000</v>
      </c>
      <c r="M769" s="65" t="s">
        <v>10</v>
      </c>
      <c r="N769" s="67" t="s">
        <v>27</v>
      </c>
      <c r="O769" s="80">
        <f>L769*H769</f>
        <v>5500</v>
      </c>
    </row>
    <row r="770" spans="2:15" hidden="1" x14ac:dyDescent="0.3">
      <c r="B770" s="59"/>
      <c r="C770" s="59"/>
      <c r="D770" s="52" t="s">
        <v>404</v>
      </c>
      <c r="H770" s="57">
        <v>0.5</v>
      </c>
      <c r="I770" s="65" t="s">
        <v>16</v>
      </c>
      <c r="J770" s="65" t="s">
        <v>8</v>
      </c>
      <c r="K770" s="65" t="s">
        <v>27</v>
      </c>
      <c r="L770" s="53">
        <f>VLOOKUP(D770,'UPah &amp; Bahan oke'!$D$9:$H$169,5,0)</f>
        <v>153000</v>
      </c>
      <c r="M770" s="65" t="s">
        <v>10</v>
      </c>
      <c r="N770" s="67" t="s">
        <v>27</v>
      </c>
      <c r="O770" s="80">
        <f>L770*H770</f>
        <v>76500</v>
      </c>
    </row>
    <row r="771" spans="2:15" hidden="1" x14ac:dyDescent="0.3">
      <c r="B771" s="59"/>
      <c r="C771" s="59"/>
      <c r="D771" s="52" t="s">
        <v>93</v>
      </c>
      <c r="H771" s="57">
        <v>0.05</v>
      </c>
      <c r="I771" s="65" t="s">
        <v>16</v>
      </c>
      <c r="J771" s="65" t="s">
        <v>8</v>
      </c>
      <c r="K771" s="65" t="s">
        <v>27</v>
      </c>
      <c r="L771" s="53">
        <f>VLOOKUP(D771,'UPah &amp; Bahan oke'!$D$9:$H$169,5,0)</f>
        <v>170000</v>
      </c>
      <c r="M771" s="65" t="s">
        <v>10</v>
      </c>
      <c r="N771" s="67" t="s">
        <v>27</v>
      </c>
      <c r="O771" s="80">
        <f>L771*H771</f>
        <v>8500</v>
      </c>
    </row>
    <row r="772" spans="2:15" hidden="1" x14ac:dyDescent="0.3">
      <c r="B772" s="59"/>
      <c r="C772" s="59"/>
      <c r="D772" s="52" t="s">
        <v>19</v>
      </c>
      <c r="H772" s="96">
        <v>2.5000000000000001E-3</v>
      </c>
      <c r="I772" s="65" t="s">
        <v>16</v>
      </c>
      <c r="J772" s="65" t="s">
        <v>8</v>
      </c>
      <c r="K772" s="65" t="s">
        <v>27</v>
      </c>
      <c r="L772" s="53">
        <f>VLOOKUP(D772,'UPah &amp; Bahan oke'!$D$9:$H$169,5,0)</f>
        <v>150000</v>
      </c>
      <c r="M772" s="65" t="s">
        <v>10</v>
      </c>
      <c r="N772" s="67" t="s">
        <v>27</v>
      </c>
      <c r="O772" s="80">
        <f>L772*H772</f>
        <v>375</v>
      </c>
    </row>
    <row r="773" spans="2:15" hidden="1" x14ac:dyDescent="0.3">
      <c r="B773" s="67"/>
      <c r="C773" s="67"/>
      <c r="H773" s="57"/>
      <c r="I773" s="65"/>
      <c r="J773" s="65"/>
      <c r="K773" s="67" t="s">
        <v>20</v>
      </c>
      <c r="M773" s="65" t="s">
        <v>10</v>
      </c>
      <c r="N773" s="67" t="s">
        <v>27</v>
      </c>
      <c r="O773" s="92">
        <f>SUM(O769:O772)</f>
        <v>90875</v>
      </c>
    </row>
    <row r="774" spans="2:15" hidden="1" x14ac:dyDescent="0.3">
      <c r="B774" s="67"/>
      <c r="C774" s="67"/>
      <c r="H774" s="57"/>
      <c r="I774" s="65"/>
      <c r="J774" s="65"/>
      <c r="K774" s="67" t="s">
        <v>21</v>
      </c>
      <c r="M774" s="65" t="s">
        <v>10</v>
      </c>
      <c r="N774" s="67" t="s">
        <v>27</v>
      </c>
      <c r="O774" s="127">
        <f>O773+O767</f>
        <v>90875</v>
      </c>
    </row>
    <row r="775" spans="2:15" hidden="1" x14ac:dyDescent="0.3">
      <c r="B775" s="67"/>
      <c r="C775" s="67"/>
      <c r="H775" s="57"/>
      <c r="I775" s="65"/>
      <c r="J775" s="65"/>
      <c r="K775" s="67"/>
      <c r="M775" s="65"/>
      <c r="N775" s="67"/>
      <c r="O775" s="80"/>
    </row>
    <row r="776" spans="2:15" hidden="1" x14ac:dyDescent="0.3">
      <c r="B776" s="55" t="s">
        <v>268</v>
      </c>
      <c r="C776" s="55" t="s">
        <v>382</v>
      </c>
      <c r="D776" s="56" t="s">
        <v>342</v>
      </c>
      <c r="E776" s="56" t="s">
        <v>369</v>
      </c>
      <c r="H776" s="57"/>
      <c r="I776" s="65"/>
      <c r="J776" s="65"/>
      <c r="K776" s="65"/>
      <c r="M776" s="65"/>
      <c r="N776" s="65"/>
      <c r="O776" s="80"/>
    </row>
    <row r="777" spans="2:15" hidden="1" x14ac:dyDescent="0.3">
      <c r="B777" s="55"/>
      <c r="C777" s="55" t="s">
        <v>277</v>
      </c>
      <c r="D777" s="56" t="s">
        <v>5</v>
      </c>
      <c r="H777" s="57"/>
      <c r="I777" s="65"/>
      <c r="J777" s="65"/>
      <c r="K777" s="65"/>
      <c r="M777" s="65"/>
      <c r="N777" s="65"/>
      <c r="O777" s="80"/>
    </row>
    <row r="778" spans="2:15" hidden="1" x14ac:dyDescent="0.3">
      <c r="B778" s="59"/>
      <c r="C778" s="59" t="s">
        <v>29</v>
      </c>
      <c r="D778" s="52" t="s">
        <v>192</v>
      </c>
      <c r="H778" s="57">
        <v>1.1000000000000001</v>
      </c>
      <c r="I778" s="65" t="s">
        <v>326</v>
      </c>
      <c r="J778" s="65" t="s">
        <v>8</v>
      </c>
      <c r="K778" s="65" t="s">
        <v>27</v>
      </c>
      <c r="L778" s="53">
        <f>VLOOKUP(D778,'UPah &amp; Bahan oke'!$D$9:$H$169,5,0)</f>
        <v>0</v>
      </c>
      <c r="M778" s="65" t="s">
        <v>10</v>
      </c>
      <c r="N778" s="65" t="s">
        <v>27</v>
      </c>
      <c r="O778" s="80">
        <f>L778*H778</f>
        <v>0</v>
      </c>
    </row>
    <row r="779" spans="2:15" hidden="1" x14ac:dyDescent="0.3">
      <c r="B779" s="67"/>
      <c r="C779" s="67"/>
      <c r="H779" s="57"/>
      <c r="I779" s="65"/>
      <c r="J779" s="65"/>
      <c r="K779" s="67" t="s">
        <v>13</v>
      </c>
      <c r="M779" s="65" t="s">
        <v>10</v>
      </c>
      <c r="N779" s="65" t="s">
        <v>27</v>
      </c>
      <c r="O779" s="90">
        <f>SUM(O778)</f>
        <v>0</v>
      </c>
    </row>
    <row r="780" spans="2:15" hidden="1" x14ac:dyDescent="0.3">
      <c r="B780" s="55"/>
      <c r="C780" s="55" t="s">
        <v>278</v>
      </c>
      <c r="D780" s="56" t="s">
        <v>15</v>
      </c>
      <c r="H780" s="57"/>
      <c r="I780" s="65"/>
      <c r="J780" s="65"/>
      <c r="K780" s="65"/>
      <c r="M780" s="65"/>
      <c r="N780" s="65"/>
      <c r="O780" s="80"/>
    </row>
    <row r="781" spans="2:15" hidden="1" x14ac:dyDescent="0.3">
      <c r="B781" s="59"/>
      <c r="C781" s="59"/>
      <c r="D781" s="52" t="s">
        <v>17</v>
      </c>
      <c r="H781" s="96">
        <v>1.55E-2</v>
      </c>
      <c r="I781" s="65" t="s">
        <v>16</v>
      </c>
      <c r="J781" s="65" t="s">
        <v>8</v>
      </c>
      <c r="K781" s="65" t="s">
        <v>27</v>
      </c>
      <c r="L781" s="53">
        <f>VLOOKUP(D781,'UPah &amp; Bahan oke'!$D$9:$H$169,5,0)</f>
        <v>110000</v>
      </c>
      <c r="M781" s="65" t="s">
        <v>10</v>
      </c>
      <c r="N781" s="67" t="s">
        <v>27</v>
      </c>
      <c r="O781" s="80">
        <f>L781*H781</f>
        <v>1705</v>
      </c>
    </row>
    <row r="782" spans="2:15" hidden="1" x14ac:dyDescent="0.3">
      <c r="B782" s="59"/>
      <c r="C782" s="59"/>
      <c r="D782" s="52" t="s">
        <v>103</v>
      </c>
      <c r="H782" s="96">
        <v>0.155</v>
      </c>
      <c r="I782" s="65" t="s">
        <v>16</v>
      </c>
      <c r="J782" s="65" t="s">
        <v>8</v>
      </c>
      <c r="K782" s="65" t="s">
        <v>27</v>
      </c>
      <c r="L782" s="53">
        <f>VLOOKUP(D782,'UPah &amp; Bahan oke'!$D$9:$H$169,5,0)</f>
        <v>153000</v>
      </c>
      <c r="M782" s="65" t="s">
        <v>10</v>
      </c>
      <c r="N782" s="67" t="s">
        <v>27</v>
      </c>
      <c r="O782" s="80">
        <f>L782*H782</f>
        <v>23715</v>
      </c>
    </row>
    <row r="783" spans="2:15" hidden="1" x14ac:dyDescent="0.3">
      <c r="B783" s="59"/>
      <c r="C783" s="59"/>
      <c r="D783" s="52" t="s">
        <v>93</v>
      </c>
      <c r="H783" s="96">
        <v>1.55E-2</v>
      </c>
      <c r="I783" s="65" t="s">
        <v>16</v>
      </c>
      <c r="J783" s="65" t="s">
        <v>8</v>
      </c>
      <c r="K783" s="65" t="s">
        <v>27</v>
      </c>
      <c r="L783" s="53">
        <f>VLOOKUP(D783,'UPah &amp; Bahan oke'!$D$9:$H$169,5,0)</f>
        <v>170000</v>
      </c>
      <c r="M783" s="65" t="s">
        <v>10</v>
      </c>
      <c r="N783" s="67" t="s">
        <v>27</v>
      </c>
      <c r="O783" s="80">
        <f>L783*H783</f>
        <v>2635</v>
      </c>
    </row>
    <row r="784" spans="2:15" hidden="1" x14ac:dyDescent="0.3">
      <c r="B784" s="59"/>
      <c r="C784" s="59"/>
      <c r="D784" s="52" t="s">
        <v>19</v>
      </c>
      <c r="H784" s="123">
        <v>7.5000000000000002E-4</v>
      </c>
      <c r="I784" s="65" t="s">
        <v>16</v>
      </c>
      <c r="J784" s="65" t="s">
        <v>8</v>
      </c>
      <c r="K784" s="65" t="s">
        <v>27</v>
      </c>
      <c r="L784" s="53">
        <f>VLOOKUP(D784,'UPah &amp; Bahan oke'!$D$9:$H$169,5,0)</f>
        <v>150000</v>
      </c>
      <c r="M784" s="65" t="s">
        <v>10</v>
      </c>
      <c r="N784" s="67" t="s">
        <v>27</v>
      </c>
      <c r="O784" s="80">
        <f>L784*H784</f>
        <v>112.5</v>
      </c>
    </row>
    <row r="785" spans="2:15" hidden="1" x14ac:dyDescent="0.3">
      <c r="B785" s="67"/>
      <c r="C785" s="67"/>
      <c r="H785" s="57"/>
      <c r="I785" s="65"/>
      <c r="J785" s="65"/>
      <c r="K785" s="67" t="s">
        <v>20</v>
      </c>
      <c r="M785" s="65" t="s">
        <v>10</v>
      </c>
      <c r="N785" s="67" t="s">
        <v>27</v>
      </c>
      <c r="O785" s="92">
        <f>SUM(O781:O784)</f>
        <v>28167.5</v>
      </c>
    </row>
    <row r="786" spans="2:15" hidden="1" x14ac:dyDescent="0.3">
      <c r="B786" s="67"/>
      <c r="C786" s="67"/>
      <c r="H786" s="57"/>
      <c r="I786" s="65"/>
      <c r="J786" s="65"/>
      <c r="K786" s="67" t="s">
        <v>21</v>
      </c>
      <c r="M786" s="65" t="s">
        <v>10</v>
      </c>
      <c r="N786" s="67" t="s">
        <v>27</v>
      </c>
      <c r="O786" s="127">
        <f>O785+O779</f>
        <v>28167.5</v>
      </c>
    </row>
    <row r="787" spans="2:15" hidden="1" x14ac:dyDescent="0.3">
      <c r="B787" s="67"/>
      <c r="C787" s="67"/>
      <c r="H787" s="57"/>
      <c r="I787" s="65"/>
      <c r="J787" s="65"/>
      <c r="K787" s="67"/>
      <c r="M787" s="65"/>
      <c r="N787" s="67"/>
      <c r="O787" s="127"/>
    </row>
    <row r="788" spans="2:15" x14ac:dyDescent="0.3">
      <c r="N788" s="53"/>
      <c r="O788" s="52"/>
    </row>
    <row r="789" spans="2:15" x14ac:dyDescent="0.3">
      <c r="N789" s="53"/>
      <c r="O789" s="52"/>
    </row>
  </sheetData>
  <mergeCells count="1">
    <mergeCell ref="B4:O4"/>
  </mergeCells>
  <pageMargins left="0.70866141732283472" right="0.19685039370078741" top="0.31496062992125984" bottom="0.35433070866141736" header="0.23622047244094491" footer="0.19685039370078741"/>
  <pageSetup paperSize="9" scale="71" orientation="portrait" horizontalDpi="4294967293" verticalDpi="360" r:id="rId1"/>
  <rowBreaks count="8" manualBreakCount="8">
    <brk id="66" min="1" max="14" man="1"/>
    <brk id="118" min="1" max="14" man="1"/>
    <brk id="229" min="1" max="14" man="1"/>
    <brk id="275" min="1" max="14" man="1"/>
    <brk id="321" min="1" max="14" man="1"/>
    <brk id="369" min="1" max="14" man="1"/>
    <brk id="540" min="1" max="14" man="1"/>
    <brk id="618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256"/>
  <sheetViews>
    <sheetView showGridLines="0" view="pageBreakPreview" zoomScale="115" zoomScaleSheetLayoutView="115" workbookViewId="0">
      <selection activeCell="B4" sqref="B4:I5"/>
    </sheetView>
  </sheetViews>
  <sheetFormatPr defaultRowHeight="13.5" x14ac:dyDescent="0.25"/>
  <cols>
    <col min="1" max="1" width="2.42578125" style="16" customWidth="1"/>
    <col min="2" max="2" width="6" style="764" customWidth="1"/>
    <col min="3" max="3" width="1.28515625" style="764" customWidth="1"/>
    <col min="4" max="4" width="6" style="764" customWidth="1"/>
    <col min="5" max="5" width="16.42578125" style="16" customWidth="1"/>
    <col min="6" max="6" width="23.42578125" style="16" customWidth="1"/>
    <col min="7" max="7" width="6.140625" style="16" customWidth="1"/>
    <col min="8" max="8" width="19.28515625" style="16" customWidth="1"/>
    <col min="9" max="9" width="20.42578125" style="17" customWidth="1"/>
    <col min="10" max="10" width="2.140625" style="17" customWidth="1"/>
    <col min="11" max="11" width="12" style="16" customWidth="1"/>
    <col min="12" max="12" width="17.7109375" style="16" customWidth="1"/>
    <col min="13" max="13" width="15.5703125" style="16" customWidth="1"/>
    <col min="14" max="14" width="14.5703125" style="16" customWidth="1"/>
    <col min="15" max="15" width="13.28515625" style="16" customWidth="1"/>
    <col min="16" max="16" width="15.42578125" style="16" customWidth="1"/>
    <col min="17" max="17" width="13.5703125" style="16" customWidth="1"/>
    <col min="18" max="18" width="18.5703125" style="16" customWidth="1"/>
    <col min="19" max="16384" width="9.140625" style="16"/>
  </cols>
  <sheetData>
    <row r="1" spans="2:18" ht="20.100000000000001" customHeight="1" x14ac:dyDescent="0.25"/>
    <row r="2" spans="2:18" ht="20.100000000000001" customHeight="1" x14ac:dyDescent="0.25"/>
    <row r="3" spans="2:18" ht="20.100000000000001" customHeight="1" x14ac:dyDescent="0.25"/>
    <row r="4" spans="2:18" ht="20.100000000000001" customHeight="1" x14ac:dyDescent="0.25">
      <c r="B4" s="1577" t="s">
        <v>145</v>
      </c>
      <c r="C4" s="1577"/>
      <c r="D4" s="1577"/>
      <c r="E4" s="1577"/>
      <c r="F4" s="1577"/>
      <c r="G4" s="1577"/>
      <c r="H4" s="1577"/>
      <c r="I4" s="1577"/>
      <c r="J4" s="50"/>
    </row>
    <row r="5" spans="2:18" ht="20.100000000000001" customHeight="1" x14ac:dyDescent="0.25">
      <c r="B5" s="1577"/>
      <c r="C5" s="1577"/>
      <c r="D5" s="1577"/>
      <c r="E5" s="1577"/>
      <c r="F5" s="1577"/>
      <c r="G5" s="1577"/>
      <c r="H5" s="1577"/>
      <c r="I5" s="1577"/>
      <c r="J5" s="50"/>
    </row>
    <row r="6" spans="2:18" ht="20.100000000000001" customHeight="1" thickBot="1" x14ac:dyDescent="0.3">
      <c r="B6" s="243"/>
      <c r="C6" s="243"/>
      <c r="D6" s="243"/>
      <c r="E6" s="243"/>
      <c r="F6" s="243"/>
      <c r="G6" s="243"/>
      <c r="H6" s="243"/>
      <c r="I6" s="243"/>
      <c r="J6" s="50"/>
    </row>
    <row r="7" spans="2:18" ht="37.5" customHeight="1" thickBot="1" x14ac:dyDescent="0.3">
      <c r="B7" s="244" t="s">
        <v>146</v>
      </c>
      <c r="C7" s="1578" t="s">
        <v>147</v>
      </c>
      <c r="D7" s="1582"/>
      <c r="E7" s="1582"/>
      <c r="F7" s="1579"/>
      <c r="G7" s="1578" t="s">
        <v>321</v>
      </c>
      <c r="H7" s="1579"/>
      <c r="I7" s="245" t="s">
        <v>105</v>
      </c>
      <c r="J7" s="196"/>
      <c r="N7" s="1583" t="s">
        <v>501</v>
      </c>
      <c r="O7" s="1583"/>
      <c r="P7" s="1583" t="s">
        <v>504</v>
      </c>
      <c r="Q7" s="1583"/>
      <c r="R7" s="764" t="s">
        <v>505</v>
      </c>
    </row>
    <row r="8" spans="2:18" ht="20.100000000000001" customHeight="1" x14ac:dyDescent="0.25">
      <c r="B8" s="246" t="s">
        <v>106</v>
      </c>
      <c r="C8" s="247"/>
      <c r="D8" s="248" t="s">
        <v>148</v>
      </c>
      <c r="E8" s="249"/>
      <c r="F8" s="250"/>
      <c r="G8" s="1580"/>
      <c r="H8" s="1581"/>
      <c r="I8" s="251"/>
      <c r="J8" s="197"/>
      <c r="N8" s="292" t="s">
        <v>502</v>
      </c>
      <c r="O8" s="293" t="s">
        <v>503</v>
      </c>
      <c r="P8" s="292" t="s">
        <v>502</v>
      </c>
      <c r="Q8" s="293" t="s">
        <v>503</v>
      </c>
    </row>
    <row r="9" spans="2:18" ht="20.100000000000001" customHeight="1" x14ac:dyDescent="0.25">
      <c r="B9" s="4">
        <v>1</v>
      </c>
      <c r="C9" s="14"/>
      <c r="D9" s="7" t="s">
        <v>17</v>
      </c>
      <c r="E9" s="252"/>
      <c r="F9" s="15"/>
      <c r="G9" s="7"/>
      <c r="H9" s="366">
        <v>110000</v>
      </c>
      <c r="I9" s="5" t="s">
        <v>149</v>
      </c>
      <c r="J9" s="197"/>
      <c r="K9" s="16">
        <v>110000</v>
      </c>
      <c r="L9" s="203" t="s">
        <v>17</v>
      </c>
      <c r="M9" s="204">
        <v>110000</v>
      </c>
      <c r="N9" s="290">
        <v>88000</v>
      </c>
      <c r="O9" s="294">
        <f>N9*(100/110)</f>
        <v>80000</v>
      </c>
      <c r="P9" s="290">
        <v>110000</v>
      </c>
      <c r="Q9" s="294">
        <f>P9*(100/110)</f>
        <v>100000</v>
      </c>
      <c r="R9" s="299">
        <v>90000</v>
      </c>
    </row>
    <row r="10" spans="2:18" ht="20.100000000000001" customHeight="1" x14ac:dyDescent="0.25">
      <c r="B10" s="4">
        <v>2</v>
      </c>
      <c r="C10" s="14"/>
      <c r="D10" s="7" t="s">
        <v>103</v>
      </c>
      <c r="E10" s="252"/>
      <c r="F10" s="15"/>
      <c r="G10" s="7"/>
      <c r="H10" s="366">
        <v>153000</v>
      </c>
      <c r="I10" s="5" t="s">
        <v>149</v>
      </c>
      <c r="J10" s="197"/>
      <c r="K10" s="16">
        <v>150000</v>
      </c>
      <c r="L10" s="203" t="s">
        <v>103</v>
      </c>
      <c r="M10" s="204">
        <v>135000</v>
      </c>
      <c r="N10" s="290">
        <v>121000</v>
      </c>
      <c r="O10" s="294">
        <f>N10*(100/110)</f>
        <v>110000</v>
      </c>
      <c r="P10" s="290">
        <v>135000</v>
      </c>
      <c r="Q10" s="294">
        <f>P10*(100/110)</f>
        <v>122727.27272727272</v>
      </c>
      <c r="R10" s="300">
        <v>110000</v>
      </c>
    </row>
    <row r="11" spans="2:18" ht="20.100000000000001" customHeight="1" x14ac:dyDescent="0.25">
      <c r="B11" s="4">
        <v>3</v>
      </c>
      <c r="C11" s="14"/>
      <c r="D11" s="7" t="s">
        <v>93</v>
      </c>
      <c r="E11" s="252"/>
      <c r="F11" s="15"/>
      <c r="G11" s="7"/>
      <c r="H11" s="366">
        <v>170000</v>
      </c>
      <c r="I11" s="5" t="s">
        <v>149</v>
      </c>
      <c r="J11" s="197"/>
      <c r="K11" s="16">
        <v>165000</v>
      </c>
      <c r="L11" s="203" t="s">
        <v>93</v>
      </c>
      <c r="M11" s="204">
        <v>150000</v>
      </c>
      <c r="N11" s="290">
        <v>132000</v>
      </c>
      <c r="O11" s="294">
        <f>N11*(100/110)</f>
        <v>120000</v>
      </c>
      <c r="P11" s="290">
        <v>150000</v>
      </c>
      <c r="Q11" s="294">
        <f>P11*(100/110)</f>
        <v>136363.63636363635</v>
      </c>
      <c r="R11" s="300">
        <v>120000</v>
      </c>
    </row>
    <row r="12" spans="2:18" ht="20.100000000000001" customHeight="1" x14ac:dyDescent="0.25">
      <c r="B12" s="253">
        <v>4</v>
      </c>
      <c r="C12" s="291"/>
      <c r="D12" s="254" t="s">
        <v>19</v>
      </c>
      <c r="E12" s="255"/>
      <c r="F12" s="256"/>
      <c r="G12" s="254"/>
      <c r="H12" s="367">
        <v>150000</v>
      </c>
      <c r="I12" s="257" t="s">
        <v>149</v>
      </c>
      <c r="J12" s="197"/>
      <c r="K12" s="16">
        <v>150000</v>
      </c>
      <c r="L12" s="203" t="s">
        <v>19</v>
      </c>
      <c r="M12" s="204">
        <v>135000</v>
      </c>
      <c r="N12" s="290">
        <v>126000</v>
      </c>
      <c r="O12" s="294">
        <f>N12*(100/110)</f>
        <v>114545.45454545454</v>
      </c>
      <c r="P12" s="290">
        <v>135000</v>
      </c>
      <c r="Q12" s="294">
        <f>P12*(100/110)</f>
        <v>122727.27272727272</v>
      </c>
      <c r="R12" s="301">
        <v>120000</v>
      </c>
    </row>
    <row r="13" spans="2:18" ht="20.100000000000001" customHeight="1" x14ac:dyDescent="0.25">
      <c r="B13" s="212"/>
      <c r="C13" s="198"/>
      <c r="D13" s="198"/>
      <c r="E13" s="213"/>
      <c r="F13" s="213"/>
      <c r="G13" s="214"/>
      <c r="H13" s="368"/>
      <c r="I13" s="215"/>
      <c r="J13" s="198"/>
      <c r="L13" s="203"/>
      <c r="M13" s="204"/>
      <c r="N13" s="290"/>
    </row>
    <row r="14" spans="2:18" ht="30" customHeight="1" x14ac:dyDescent="0.25">
      <c r="B14" s="341" t="s">
        <v>107</v>
      </c>
      <c r="C14" s="342"/>
      <c r="D14" s="343" t="s">
        <v>150</v>
      </c>
      <c r="E14" s="343"/>
      <c r="F14" s="343"/>
      <c r="G14" s="343"/>
      <c r="H14" s="343"/>
      <c r="I14" s="344"/>
      <c r="J14" s="199"/>
      <c r="L14" s="771" t="s">
        <v>150</v>
      </c>
      <c r="M14" s="772"/>
      <c r="N14" s="290"/>
    </row>
    <row r="15" spans="2:18" ht="30" hidden="1" customHeight="1" x14ac:dyDescent="0.25">
      <c r="B15" s="338"/>
      <c r="C15" s="46"/>
      <c r="D15" s="339" t="s">
        <v>151</v>
      </c>
      <c r="E15" s="23"/>
      <c r="F15" s="339"/>
      <c r="G15" s="339"/>
      <c r="H15" s="369"/>
      <c r="I15" s="340"/>
      <c r="J15" s="198"/>
      <c r="L15" s="773" t="s">
        <v>151</v>
      </c>
      <c r="M15" s="204"/>
      <c r="N15" s="290"/>
    </row>
    <row r="16" spans="2:18" ht="30" hidden="1" customHeight="1" x14ac:dyDescent="0.25">
      <c r="B16" s="12">
        <v>1</v>
      </c>
      <c r="C16" s="46"/>
      <c r="D16" s="47" t="s">
        <v>152</v>
      </c>
      <c r="E16" s="23"/>
      <c r="F16" s="48"/>
      <c r="G16" s="47"/>
      <c r="H16" s="370">
        <f>M16</f>
        <v>125000</v>
      </c>
      <c r="I16" s="13" t="s">
        <v>153</v>
      </c>
      <c r="J16" s="200"/>
      <c r="K16" s="24"/>
      <c r="L16" s="203" t="s">
        <v>152</v>
      </c>
      <c r="M16" s="204">
        <v>125000</v>
      </c>
      <c r="N16" s="290"/>
    </row>
    <row r="17" spans="2:18" ht="20.100000000000001" customHeight="1" x14ac:dyDescent="0.25">
      <c r="B17" s="4">
        <v>1</v>
      </c>
      <c r="C17" s="14"/>
      <c r="D17" s="7" t="s">
        <v>36</v>
      </c>
      <c r="E17" s="49"/>
      <c r="F17" s="15"/>
      <c r="G17" s="7"/>
      <c r="H17" s="366">
        <v>80000</v>
      </c>
      <c r="I17" s="11" t="s">
        <v>154</v>
      </c>
      <c r="J17" s="201"/>
      <c r="K17" s="345"/>
      <c r="L17" s="203" t="s">
        <v>36</v>
      </c>
      <c r="M17" s="204">
        <v>114000</v>
      </c>
      <c r="N17" s="290">
        <v>156200</v>
      </c>
      <c r="O17" s="294">
        <f t="shared" ref="O17:O86" si="0">N17*(100/110)</f>
        <v>142000</v>
      </c>
      <c r="P17" s="290">
        <v>50500</v>
      </c>
      <c r="Q17" s="294">
        <f t="shared" ref="Q17:Q86" si="1">P17*(100/110)</f>
        <v>45909.090909090904</v>
      </c>
      <c r="R17" s="302">
        <v>120000</v>
      </c>
    </row>
    <row r="18" spans="2:18" ht="20.100000000000001" customHeight="1" x14ac:dyDescent="0.25">
      <c r="B18" s="4">
        <f>B17+1</f>
        <v>2</v>
      </c>
      <c r="C18" s="14"/>
      <c r="D18" s="7" t="s">
        <v>60</v>
      </c>
      <c r="E18" s="49"/>
      <c r="F18" s="15"/>
      <c r="G18" s="7"/>
      <c r="H18" s="366">
        <v>185000</v>
      </c>
      <c r="I18" s="11" t="s">
        <v>154</v>
      </c>
      <c r="J18" s="201"/>
      <c r="K18" s="303"/>
      <c r="L18" s="203" t="s">
        <v>60</v>
      </c>
      <c r="M18" s="774">
        <v>159000</v>
      </c>
      <c r="N18" s="290">
        <v>176400</v>
      </c>
      <c r="O18" s="294">
        <f t="shared" si="0"/>
        <v>160363.63636363635</v>
      </c>
      <c r="P18" s="290">
        <v>79500</v>
      </c>
      <c r="Q18" s="294">
        <f t="shared" si="1"/>
        <v>72272.727272727265</v>
      </c>
      <c r="R18" s="302">
        <v>120000</v>
      </c>
    </row>
    <row r="19" spans="2:18" ht="20.100000000000001" customHeight="1" x14ac:dyDescent="0.25">
      <c r="B19" s="4">
        <f t="shared" ref="B19:B47" si="2">B18+1</f>
        <v>3</v>
      </c>
      <c r="C19" s="14"/>
      <c r="D19" s="7" t="s">
        <v>393</v>
      </c>
      <c r="E19" s="49"/>
      <c r="F19" s="15"/>
      <c r="G19" s="7"/>
      <c r="H19" s="366">
        <v>250000</v>
      </c>
      <c r="I19" s="11" t="s">
        <v>154</v>
      </c>
      <c r="J19" s="201"/>
      <c r="K19" s="303"/>
      <c r="L19" s="203" t="s">
        <v>71</v>
      </c>
      <c r="M19" s="774">
        <v>159000</v>
      </c>
      <c r="N19" s="290">
        <v>209200</v>
      </c>
      <c r="O19" s="294">
        <f t="shared" si="0"/>
        <v>190181.81818181818</v>
      </c>
      <c r="P19" s="290">
        <v>79500</v>
      </c>
      <c r="Q19" s="294">
        <f t="shared" si="1"/>
        <v>72272.727272727265</v>
      </c>
      <c r="R19" s="302">
        <v>150000</v>
      </c>
    </row>
    <row r="20" spans="2:18" ht="20.100000000000001" customHeight="1" x14ac:dyDescent="0.25">
      <c r="B20" s="4">
        <f t="shared" si="2"/>
        <v>4</v>
      </c>
      <c r="C20" s="14"/>
      <c r="D20" s="7" t="s">
        <v>71</v>
      </c>
      <c r="E20" s="49"/>
      <c r="F20" s="15"/>
      <c r="G20" s="7"/>
      <c r="H20" s="366">
        <f>H19/1000</f>
        <v>250</v>
      </c>
      <c r="I20" s="5" t="s">
        <v>157</v>
      </c>
      <c r="J20" s="198"/>
      <c r="K20" s="303"/>
      <c r="L20" s="203" t="s">
        <v>71</v>
      </c>
      <c r="M20" s="774">
        <f>M19/1400</f>
        <v>113.57142857142857</v>
      </c>
      <c r="N20" s="775">
        <f>N19/1400</f>
        <v>149.42857142857142</v>
      </c>
      <c r="O20" s="294">
        <f t="shared" si="0"/>
        <v>135.84415584415584</v>
      </c>
      <c r="P20" s="290">
        <f>P19/1400</f>
        <v>56.785714285714285</v>
      </c>
      <c r="Q20" s="294">
        <f t="shared" si="1"/>
        <v>51.623376623376622</v>
      </c>
      <c r="R20" s="304">
        <f>R19/1400</f>
        <v>107.14285714285714</v>
      </c>
    </row>
    <row r="21" spans="2:18" ht="20.100000000000001" customHeight="1" x14ac:dyDescent="0.25">
      <c r="B21" s="4">
        <f t="shared" si="2"/>
        <v>5</v>
      </c>
      <c r="C21" s="14"/>
      <c r="D21" s="7" t="s">
        <v>394</v>
      </c>
      <c r="E21" s="49"/>
      <c r="F21" s="15"/>
      <c r="G21" s="7"/>
      <c r="H21" s="366">
        <f>1200000/7.2</f>
        <v>166666.66666666666</v>
      </c>
      <c r="I21" s="11" t="s">
        <v>154</v>
      </c>
      <c r="J21" s="201"/>
      <c r="K21" s="345"/>
      <c r="L21" s="203" t="s">
        <v>72</v>
      </c>
      <c r="M21" s="204">
        <v>215000</v>
      </c>
      <c r="N21" s="290">
        <v>363000</v>
      </c>
      <c r="O21" s="294">
        <f t="shared" si="0"/>
        <v>330000</v>
      </c>
      <c r="P21" s="290">
        <v>115000</v>
      </c>
      <c r="Q21" s="294">
        <f t="shared" si="1"/>
        <v>104545.45454545454</v>
      </c>
      <c r="R21" s="302">
        <v>150000</v>
      </c>
    </row>
    <row r="22" spans="2:18" ht="20.100000000000001" customHeight="1" x14ac:dyDescent="0.25">
      <c r="B22" s="4">
        <f t="shared" si="2"/>
        <v>6</v>
      </c>
      <c r="C22" s="14"/>
      <c r="D22" s="7" t="s">
        <v>72</v>
      </c>
      <c r="E22" s="49"/>
      <c r="F22" s="15"/>
      <c r="G22" s="7"/>
      <c r="H22" s="366">
        <f>H21/1200</f>
        <v>138.88888888888889</v>
      </c>
      <c r="I22" s="5" t="s">
        <v>157</v>
      </c>
      <c r="J22" s="198"/>
      <c r="K22" s="345"/>
      <c r="L22" s="203" t="s">
        <v>72</v>
      </c>
      <c r="M22" s="204">
        <f>M21/1350</f>
        <v>159.25925925925927</v>
      </c>
      <c r="N22" s="204">
        <f>N21/1350</f>
        <v>268.88888888888891</v>
      </c>
      <c r="O22" s="294">
        <f t="shared" si="0"/>
        <v>244.44444444444446</v>
      </c>
      <c r="P22" s="204">
        <f>P21/1350</f>
        <v>85.18518518518519</v>
      </c>
      <c r="Q22" s="294">
        <f>P22*(100/110)</f>
        <v>77.441077441077439</v>
      </c>
      <c r="R22" s="304">
        <f>R21/1350</f>
        <v>111.11111111111111</v>
      </c>
    </row>
    <row r="23" spans="2:18" ht="20.100000000000001" customHeight="1" x14ac:dyDescent="0.25">
      <c r="B23" s="4">
        <f t="shared" si="2"/>
        <v>7</v>
      </c>
      <c r="C23" s="14"/>
      <c r="D23" s="7" t="s">
        <v>139</v>
      </c>
      <c r="E23" s="49"/>
      <c r="F23" s="15"/>
      <c r="G23" s="7"/>
      <c r="H23" s="366">
        <v>300000</v>
      </c>
      <c r="I23" s="11" t="s">
        <v>154</v>
      </c>
      <c r="J23" s="201"/>
      <c r="K23" s="345"/>
      <c r="L23" s="203" t="s">
        <v>139</v>
      </c>
      <c r="M23" s="204">
        <v>160000</v>
      </c>
      <c r="N23" s="290">
        <v>308000</v>
      </c>
      <c r="O23" s="294">
        <f t="shared" si="0"/>
        <v>280000</v>
      </c>
      <c r="P23" s="290">
        <v>139700</v>
      </c>
      <c r="Q23" s="294">
        <f t="shared" si="1"/>
        <v>127000</v>
      </c>
      <c r="R23" s="302">
        <v>250000</v>
      </c>
    </row>
    <row r="24" spans="2:18" ht="20.100000000000001" customHeight="1" x14ac:dyDescent="0.25">
      <c r="B24" s="4">
        <f t="shared" si="2"/>
        <v>8</v>
      </c>
      <c r="C24" s="14"/>
      <c r="D24" s="7" t="s">
        <v>231</v>
      </c>
      <c r="E24" s="49"/>
      <c r="F24" s="15"/>
      <c r="G24" s="7"/>
      <c r="H24" s="366">
        <v>300000</v>
      </c>
      <c r="I24" s="11" t="s">
        <v>154</v>
      </c>
      <c r="J24" s="201"/>
      <c r="K24" s="345"/>
      <c r="L24" s="203" t="s">
        <v>231</v>
      </c>
      <c r="M24" s="204">
        <v>175000</v>
      </c>
      <c r="N24" s="290">
        <v>308000</v>
      </c>
      <c r="O24" s="294">
        <f t="shared" si="0"/>
        <v>280000</v>
      </c>
      <c r="P24" s="290">
        <v>139700</v>
      </c>
      <c r="Q24" s="294">
        <f t="shared" si="1"/>
        <v>127000</v>
      </c>
      <c r="R24" s="302">
        <v>250000</v>
      </c>
    </row>
    <row r="25" spans="2:18" ht="20.100000000000001" customHeight="1" x14ac:dyDescent="0.25">
      <c r="B25" s="4">
        <f t="shared" si="2"/>
        <v>9</v>
      </c>
      <c r="C25" s="14"/>
      <c r="D25" s="7" t="s">
        <v>57</v>
      </c>
      <c r="E25" s="49"/>
      <c r="F25" s="15"/>
      <c r="G25" s="7"/>
      <c r="H25" s="366">
        <v>700</v>
      </c>
      <c r="I25" s="5" t="s">
        <v>155</v>
      </c>
      <c r="J25" s="198"/>
      <c r="K25" s="345"/>
      <c r="L25" s="203" t="s">
        <v>407</v>
      </c>
      <c r="M25" s="204">
        <v>900</v>
      </c>
      <c r="N25" s="290">
        <v>891</v>
      </c>
      <c r="O25" s="294">
        <f t="shared" si="0"/>
        <v>810</v>
      </c>
      <c r="P25" s="290">
        <v>510</v>
      </c>
      <c r="Q25" s="294">
        <f t="shared" si="1"/>
        <v>463.63636363636363</v>
      </c>
      <c r="R25" s="302">
        <v>900</v>
      </c>
    </row>
    <row r="26" spans="2:18" ht="20.100000000000001" hidden="1" customHeight="1" x14ac:dyDescent="0.25">
      <c r="B26" s="4">
        <f t="shared" si="2"/>
        <v>10</v>
      </c>
      <c r="C26" s="14"/>
      <c r="D26" s="7" t="s">
        <v>137</v>
      </c>
      <c r="E26" s="49"/>
      <c r="F26" s="15"/>
      <c r="G26" s="7"/>
      <c r="H26" s="366">
        <f>R26</f>
        <v>0</v>
      </c>
      <c r="I26" s="11" t="s">
        <v>154</v>
      </c>
      <c r="J26" s="201"/>
      <c r="K26" s="345"/>
      <c r="L26" s="203" t="s">
        <v>137</v>
      </c>
      <c r="M26" s="204">
        <v>175000</v>
      </c>
      <c r="N26" s="290" t="s">
        <v>490</v>
      </c>
      <c r="O26" s="294" t="e">
        <f t="shared" si="0"/>
        <v>#VALUE!</v>
      </c>
      <c r="P26" s="290"/>
      <c r="Q26" s="294">
        <f t="shared" si="1"/>
        <v>0</v>
      </c>
      <c r="R26" s="302"/>
    </row>
    <row r="27" spans="2:18" ht="20.100000000000001" hidden="1" customHeight="1" x14ac:dyDescent="0.25">
      <c r="B27" s="4">
        <f t="shared" si="2"/>
        <v>11</v>
      </c>
      <c r="C27" s="14"/>
      <c r="D27" s="7" t="s">
        <v>399</v>
      </c>
      <c r="E27" s="49"/>
      <c r="F27" s="15"/>
      <c r="G27" s="7"/>
      <c r="H27" s="366">
        <f>R27</f>
        <v>0</v>
      </c>
      <c r="I27" s="11" t="s">
        <v>309</v>
      </c>
      <c r="J27" s="201"/>
      <c r="K27" s="20"/>
      <c r="L27" s="203" t="s">
        <v>408</v>
      </c>
      <c r="M27" s="204">
        <v>240000</v>
      </c>
      <c r="N27" s="290" t="s">
        <v>490</v>
      </c>
      <c r="O27" s="294" t="e">
        <f t="shared" si="0"/>
        <v>#VALUE!</v>
      </c>
      <c r="P27" s="290"/>
      <c r="Q27" s="294">
        <f t="shared" si="1"/>
        <v>0</v>
      </c>
      <c r="R27" s="302"/>
    </row>
    <row r="28" spans="2:18" ht="20.100000000000001" customHeight="1" x14ac:dyDescent="0.25">
      <c r="B28" s="4">
        <f t="shared" si="2"/>
        <v>12</v>
      </c>
      <c r="C28" s="14"/>
      <c r="D28" s="7" t="s">
        <v>392</v>
      </c>
      <c r="E28" s="49"/>
      <c r="F28" s="15"/>
      <c r="G28" s="7"/>
      <c r="H28" s="366">
        <v>67500</v>
      </c>
      <c r="I28" s="5" t="s">
        <v>156</v>
      </c>
      <c r="J28" s="198"/>
      <c r="K28" s="345"/>
      <c r="L28" s="203" t="s">
        <v>409</v>
      </c>
      <c r="M28" s="204">
        <v>60000</v>
      </c>
      <c r="N28" s="290">
        <v>72000</v>
      </c>
      <c r="O28" s="294">
        <f t="shared" si="0"/>
        <v>65454.545454545456</v>
      </c>
      <c r="P28" s="290">
        <v>63400</v>
      </c>
      <c r="Q28" s="294">
        <f t="shared" si="1"/>
        <v>57636.363636363632</v>
      </c>
      <c r="R28" s="302">
        <v>65000</v>
      </c>
    </row>
    <row r="29" spans="2:18" ht="20.100000000000001" customHeight="1" x14ac:dyDescent="0.25">
      <c r="B29" s="4">
        <f t="shared" si="2"/>
        <v>13</v>
      </c>
      <c r="C29" s="14"/>
      <c r="D29" s="7" t="s">
        <v>391</v>
      </c>
      <c r="E29" s="49"/>
      <c r="F29" s="15"/>
      <c r="G29" s="7"/>
      <c r="H29" s="366">
        <f>H28/40</f>
        <v>1687.5</v>
      </c>
      <c r="I29" s="5" t="s">
        <v>157</v>
      </c>
      <c r="J29" s="198"/>
      <c r="K29" s="20"/>
      <c r="L29" s="203" t="s">
        <v>410</v>
      </c>
      <c r="M29" s="204">
        <f>M28/40</f>
        <v>1500</v>
      </c>
      <c r="N29" s="290">
        <f>N28/40</f>
        <v>1800</v>
      </c>
      <c r="O29" s="294">
        <f t="shared" si="0"/>
        <v>1636.3636363636363</v>
      </c>
      <c r="P29" s="290">
        <f>P28/40</f>
        <v>1585</v>
      </c>
      <c r="Q29" s="294">
        <f t="shared" si="1"/>
        <v>1440.9090909090908</v>
      </c>
      <c r="R29" s="304">
        <f>R28/40</f>
        <v>1625</v>
      </c>
    </row>
    <row r="30" spans="2:18" ht="20.100000000000001" customHeight="1" x14ac:dyDescent="0.25">
      <c r="B30" s="4">
        <f t="shared" si="2"/>
        <v>14</v>
      </c>
      <c r="C30" s="14"/>
      <c r="D30" s="7" t="s">
        <v>159</v>
      </c>
      <c r="E30" s="49"/>
      <c r="F30" s="15"/>
      <c r="G30" s="7"/>
      <c r="H30" s="366">
        <v>100000</v>
      </c>
      <c r="I30" s="11" t="s">
        <v>154</v>
      </c>
      <c r="J30" s="198"/>
      <c r="K30" s="20"/>
      <c r="L30" s="203" t="s">
        <v>158</v>
      </c>
      <c r="M30" s="204">
        <v>3440</v>
      </c>
      <c r="N30" s="290">
        <v>2720</v>
      </c>
      <c r="O30" s="294">
        <f t="shared" si="0"/>
        <v>2472.7272727272725</v>
      </c>
      <c r="P30" s="290">
        <f>125000/40</f>
        <v>3125</v>
      </c>
      <c r="Q30" s="294">
        <f t="shared" si="1"/>
        <v>2840.909090909091</v>
      </c>
      <c r="R30" s="302">
        <v>4000</v>
      </c>
    </row>
    <row r="31" spans="2:18" ht="20.100000000000001" customHeight="1" x14ac:dyDescent="0.25">
      <c r="B31" s="4">
        <f t="shared" si="2"/>
        <v>15</v>
      </c>
      <c r="C31" s="14"/>
      <c r="D31" s="7" t="s">
        <v>88</v>
      </c>
      <c r="E31" s="49"/>
      <c r="F31" s="15"/>
      <c r="G31" s="7"/>
      <c r="H31" s="366">
        <f>'Hrg. Sat. Upah (3)'!D46</f>
        <v>235000</v>
      </c>
      <c r="I31" s="10" t="s">
        <v>160</v>
      </c>
      <c r="J31" s="201"/>
      <c r="L31" s="203" t="s">
        <v>159</v>
      </c>
      <c r="M31" s="204">
        <v>152000</v>
      </c>
      <c r="N31" s="290">
        <v>210200</v>
      </c>
      <c r="O31" s="294">
        <f t="shared" si="0"/>
        <v>191090.90909090909</v>
      </c>
      <c r="P31" s="290">
        <v>85000</v>
      </c>
      <c r="Q31" s="294">
        <f t="shared" si="1"/>
        <v>77272.727272727265</v>
      </c>
      <c r="R31" s="302">
        <v>300000</v>
      </c>
    </row>
    <row r="32" spans="2:18" ht="20.100000000000001" customHeight="1" x14ac:dyDescent="0.25">
      <c r="B32" s="4">
        <f t="shared" si="2"/>
        <v>16</v>
      </c>
      <c r="C32" s="14"/>
      <c r="D32" s="7" t="s">
        <v>907</v>
      </c>
      <c r="E32" s="49"/>
      <c r="F32" s="15"/>
      <c r="G32" s="7"/>
      <c r="H32" s="366">
        <f>'Hrg. Sat. Upah (3)'!D42</f>
        <v>317500</v>
      </c>
      <c r="I32" s="10" t="s">
        <v>160</v>
      </c>
      <c r="J32" s="201"/>
      <c r="L32" s="203">
        <f>RAB!P163</f>
        <v>0</v>
      </c>
      <c r="M32" s="204"/>
      <c r="N32" s="290"/>
      <c r="O32" s="294"/>
      <c r="P32" s="290"/>
      <c r="Q32" s="294"/>
      <c r="R32" s="302"/>
    </row>
    <row r="33" spans="2:18" ht="20.100000000000001" customHeight="1" x14ac:dyDescent="0.25">
      <c r="B33" s="4">
        <f t="shared" si="2"/>
        <v>17</v>
      </c>
      <c r="C33" s="14"/>
      <c r="D33" s="7" t="s">
        <v>73</v>
      </c>
      <c r="E33" s="49"/>
      <c r="F33" s="15"/>
      <c r="G33" s="7"/>
      <c r="H33" s="366">
        <v>50</v>
      </c>
      <c r="I33" s="5" t="s">
        <v>161</v>
      </c>
      <c r="J33" s="200"/>
      <c r="L33" s="203" t="s">
        <v>411</v>
      </c>
      <c r="M33" s="204">
        <v>170000</v>
      </c>
      <c r="N33" s="290">
        <v>177500</v>
      </c>
      <c r="O33" s="294">
        <f t="shared" si="0"/>
        <v>161363.63636363635</v>
      </c>
      <c r="P33" s="290">
        <v>162500</v>
      </c>
      <c r="Q33" s="294">
        <f t="shared" si="1"/>
        <v>147727.27272727274</v>
      </c>
      <c r="R33" s="302">
        <v>190000</v>
      </c>
    </row>
    <row r="34" spans="2:18" ht="20.100000000000001" customHeight="1" x14ac:dyDescent="0.25">
      <c r="B34" s="4">
        <f t="shared" si="2"/>
        <v>18</v>
      </c>
      <c r="C34" s="14"/>
      <c r="D34" s="7" t="s">
        <v>130</v>
      </c>
      <c r="E34" s="49"/>
      <c r="F34" s="15"/>
      <c r="G34" s="7"/>
      <c r="H34" s="366">
        <v>13000</v>
      </c>
      <c r="I34" s="5" t="s">
        <v>157</v>
      </c>
      <c r="J34" s="198"/>
      <c r="L34" s="203" t="s">
        <v>73</v>
      </c>
      <c r="M34" s="204">
        <v>1.17</v>
      </c>
      <c r="N34" s="290">
        <v>1.17</v>
      </c>
      <c r="O34" s="294">
        <f t="shared" si="0"/>
        <v>1.0636363636363635</v>
      </c>
      <c r="P34" s="290">
        <v>1.17</v>
      </c>
      <c r="Q34" s="294">
        <f t="shared" si="1"/>
        <v>1.0636363636363635</v>
      </c>
      <c r="R34" s="302">
        <v>1.17</v>
      </c>
    </row>
    <row r="35" spans="2:18" ht="20.100000000000001" customHeight="1" x14ac:dyDescent="0.25">
      <c r="B35" s="4">
        <f t="shared" si="2"/>
        <v>19</v>
      </c>
      <c r="C35" s="14"/>
      <c r="D35" s="7" t="s">
        <v>79</v>
      </c>
      <c r="E35" s="49"/>
      <c r="F35" s="15"/>
      <c r="G35" s="7"/>
      <c r="H35" s="366">
        <f>'Hrg. Sat. Upah (3)'!D57</f>
        <v>26000</v>
      </c>
      <c r="I35" s="5" t="s">
        <v>157</v>
      </c>
      <c r="J35" s="198"/>
      <c r="L35" s="203" t="s">
        <v>130</v>
      </c>
      <c r="M35" s="205">
        <v>16500</v>
      </c>
      <c r="N35" s="290">
        <v>17600</v>
      </c>
      <c r="O35" s="294">
        <f t="shared" si="0"/>
        <v>16000</v>
      </c>
      <c r="P35" s="290">
        <v>16500</v>
      </c>
      <c r="Q35" s="294">
        <f>P35</f>
        <v>16500</v>
      </c>
      <c r="R35" s="302">
        <v>15000</v>
      </c>
    </row>
    <row r="36" spans="2:18" ht="20.100000000000001" customHeight="1" x14ac:dyDescent="0.25">
      <c r="B36" s="4">
        <f t="shared" si="2"/>
        <v>20</v>
      </c>
      <c r="C36" s="14"/>
      <c r="D36" s="7" t="s">
        <v>762</v>
      </c>
      <c r="E36" s="49"/>
      <c r="F36" s="15"/>
      <c r="G36" s="7"/>
      <c r="H36" s="366">
        <v>44000</v>
      </c>
      <c r="I36" s="5" t="s">
        <v>157</v>
      </c>
      <c r="J36" s="198"/>
      <c r="L36" s="203"/>
      <c r="M36" s="205"/>
      <c r="N36" s="290"/>
      <c r="O36" s="294"/>
      <c r="P36" s="290"/>
      <c r="Q36" s="294"/>
      <c r="R36" s="302"/>
    </row>
    <row r="37" spans="2:18" ht="20.100000000000001" customHeight="1" x14ac:dyDescent="0.25">
      <c r="B37" s="4">
        <f t="shared" si="2"/>
        <v>21</v>
      </c>
      <c r="C37" s="14"/>
      <c r="D37" s="7" t="s">
        <v>11</v>
      </c>
      <c r="E37" s="49"/>
      <c r="F37" s="15"/>
      <c r="G37" s="7"/>
      <c r="H37" s="366">
        <v>20000</v>
      </c>
      <c r="I37" s="5" t="s">
        <v>157</v>
      </c>
      <c r="J37" s="198"/>
      <c r="L37" s="203" t="s">
        <v>162</v>
      </c>
      <c r="M37" s="204">
        <v>18500</v>
      </c>
      <c r="N37" s="290">
        <v>19000</v>
      </c>
      <c r="O37" s="294">
        <f t="shared" si="0"/>
        <v>17272.727272727272</v>
      </c>
      <c r="P37" s="290">
        <v>18500</v>
      </c>
      <c r="Q37" s="294">
        <f t="shared" si="1"/>
        <v>16818.181818181816</v>
      </c>
      <c r="R37" s="302">
        <v>16000</v>
      </c>
    </row>
    <row r="38" spans="2:18" ht="20.100000000000001" customHeight="1" x14ac:dyDescent="0.25">
      <c r="B38" s="4">
        <f t="shared" si="2"/>
        <v>22</v>
      </c>
      <c r="C38" s="14"/>
      <c r="D38" s="7" t="s">
        <v>83</v>
      </c>
      <c r="E38" s="49"/>
      <c r="F38" s="15"/>
      <c r="G38" s="7"/>
      <c r="H38" s="366">
        <v>22000</v>
      </c>
      <c r="I38" s="5" t="s">
        <v>161</v>
      </c>
      <c r="J38" s="198"/>
      <c r="L38" s="203" t="s">
        <v>79</v>
      </c>
      <c r="M38" s="204">
        <v>25100</v>
      </c>
      <c r="N38" s="290">
        <v>23500</v>
      </c>
      <c r="O38" s="294">
        <f t="shared" si="0"/>
        <v>21363.636363636364</v>
      </c>
      <c r="P38" s="290">
        <v>25100</v>
      </c>
      <c r="Q38" s="294">
        <f t="shared" si="1"/>
        <v>22818.181818181816</v>
      </c>
      <c r="R38" s="302">
        <v>30000</v>
      </c>
    </row>
    <row r="39" spans="2:18" ht="20.100000000000001" hidden="1" customHeight="1" x14ac:dyDescent="0.25">
      <c r="B39" s="4">
        <f t="shared" si="2"/>
        <v>23</v>
      </c>
      <c r="C39" s="14"/>
      <c r="D39" s="7" t="s">
        <v>757</v>
      </c>
      <c r="E39" s="49"/>
      <c r="F39" s="15"/>
      <c r="G39" s="7"/>
      <c r="H39" s="366">
        <v>480000</v>
      </c>
      <c r="I39" s="11" t="s">
        <v>154</v>
      </c>
      <c r="J39" s="198"/>
      <c r="L39" s="203"/>
      <c r="M39" s="204"/>
      <c r="N39" s="290"/>
      <c r="O39" s="294"/>
      <c r="P39" s="290"/>
      <c r="Q39" s="294"/>
      <c r="R39" s="302"/>
    </row>
    <row r="40" spans="2:18" ht="20.100000000000001" hidden="1" customHeight="1" x14ac:dyDescent="0.25">
      <c r="B40" s="4">
        <f t="shared" si="2"/>
        <v>24</v>
      </c>
      <c r="C40" s="136"/>
      <c r="D40" s="9" t="s">
        <v>163</v>
      </c>
      <c r="E40" s="49"/>
      <c r="F40" s="337"/>
      <c r="G40" s="9"/>
      <c r="H40" s="366"/>
      <c r="I40" s="8"/>
      <c r="J40" s="198"/>
      <c r="L40" s="773" t="s">
        <v>163</v>
      </c>
      <c r="M40" s="204"/>
      <c r="N40" s="290"/>
      <c r="O40" s="294">
        <f t="shared" si="0"/>
        <v>0</v>
      </c>
      <c r="P40" s="290"/>
      <c r="Q40" s="294"/>
      <c r="R40" s="302"/>
    </row>
    <row r="41" spans="2:18" ht="20.100000000000001" customHeight="1" x14ac:dyDescent="0.25">
      <c r="B41" s="4">
        <f t="shared" si="2"/>
        <v>25</v>
      </c>
      <c r="C41" s="14"/>
      <c r="D41" s="7" t="s">
        <v>164</v>
      </c>
      <c r="E41" s="49"/>
      <c r="F41" s="15"/>
      <c r="G41" s="7"/>
      <c r="H41" s="366">
        <v>6500000</v>
      </c>
      <c r="I41" s="11" t="s">
        <v>154</v>
      </c>
      <c r="J41" s="201"/>
      <c r="L41" s="203" t="s">
        <v>164</v>
      </c>
      <c r="M41" s="204">
        <v>7271000</v>
      </c>
      <c r="N41" s="290">
        <f>0.75*11110000</f>
        <v>8332500</v>
      </c>
      <c r="O41" s="294">
        <f t="shared" si="0"/>
        <v>7575000</v>
      </c>
      <c r="P41" s="290">
        <v>7271000</v>
      </c>
      <c r="Q41" s="294">
        <f>P41</f>
        <v>7271000</v>
      </c>
      <c r="R41" s="302">
        <v>7500000</v>
      </c>
    </row>
    <row r="42" spans="2:18" ht="20.100000000000001" customHeight="1" x14ac:dyDescent="0.25">
      <c r="B42" s="4">
        <f t="shared" si="2"/>
        <v>26</v>
      </c>
      <c r="C42" s="14"/>
      <c r="D42" s="7" t="s">
        <v>82</v>
      </c>
      <c r="E42" s="49"/>
      <c r="F42" s="15"/>
      <c r="G42" s="7"/>
      <c r="H42" s="366">
        <v>5200000</v>
      </c>
      <c r="I42" s="11" t="s">
        <v>154</v>
      </c>
      <c r="J42" s="201"/>
      <c r="L42" s="203" t="s">
        <v>82</v>
      </c>
      <c r="M42" s="204">
        <v>3780000</v>
      </c>
      <c r="N42" s="290">
        <f>0.5*8148000</f>
        <v>4074000</v>
      </c>
      <c r="O42" s="294">
        <f t="shared" si="0"/>
        <v>3703636.3636363633</v>
      </c>
      <c r="P42" s="290">
        <v>5900000</v>
      </c>
      <c r="Q42" s="294">
        <f t="shared" si="1"/>
        <v>5363636.3636363633</v>
      </c>
      <c r="R42" s="302">
        <v>6000000</v>
      </c>
    </row>
    <row r="43" spans="2:18" ht="20.100000000000001" customHeight="1" x14ac:dyDescent="0.25">
      <c r="B43" s="4">
        <f t="shared" si="2"/>
        <v>27</v>
      </c>
      <c r="C43" s="14"/>
      <c r="D43" s="7" t="s">
        <v>165</v>
      </c>
      <c r="E43" s="49"/>
      <c r="F43" s="15"/>
      <c r="G43" s="7"/>
      <c r="H43" s="366">
        <f>H42</f>
        <v>5200000</v>
      </c>
      <c r="I43" s="11" t="s">
        <v>154</v>
      </c>
      <c r="J43" s="201"/>
      <c r="L43" s="203" t="s">
        <v>165</v>
      </c>
      <c r="M43" s="204">
        <f>M42</f>
        <v>3780000</v>
      </c>
      <c r="N43" s="290">
        <f>0.5*8148000</f>
        <v>4074000</v>
      </c>
      <c r="O43" s="294">
        <f t="shared" si="0"/>
        <v>3703636.3636363633</v>
      </c>
      <c r="P43" s="290">
        <v>5900000</v>
      </c>
      <c r="Q43" s="294">
        <f t="shared" si="1"/>
        <v>5363636.3636363633</v>
      </c>
      <c r="R43" s="302">
        <v>4150000</v>
      </c>
    </row>
    <row r="44" spans="2:18" ht="20.100000000000001" customHeight="1" x14ac:dyDescent="0.25">
      <c r="B44" s="4">
        <f t="shared" si="2"/>
        <v>28</v>
      </c>
      <c r="C44" s="14"/>
      <c r="D44" s="7" t="s">
        <v>166</v>
      </c>
      <c r="E44" s="49"/>
      <c r="F44" s="15"/>
      <c r="G44" s="7"/>
      <c r="H44" s="366">
        <f>H43</f>
        <v>5200000</v>
      </c>
      <c r="I44" s="11" t="s">
        <v>154</v>
      </c>
      <c r="J44" s="201"/>
      <c r="L44" s="203" t="s">
        <v>166</v>
      </c>
      <c r="M44" s="204">
        <f>M43</f>
        <v>3780000</v>
      </c>
      <c r="N44" s="290">
        <f>0.5*8148000</f>
        <v>4074000</v>
      </c>
      <c r="O44" s="294">
        <f t="shared" si="0"/>
        <v>3703636.3636363633</v>
      </c>
      <c r="P44" s="290">
        <v>5900000</v>
      </c>
      <c r="Q44" s="294">
        <f t="shared" si="1"/>
        <v>5363636.3636363633</v>
      </c>
      <c r="R44" s="302">
        <v>4150000</v>
      </c>
    </row>
    <row r="45" spans="2:18" ht="20.100000000000001" customHeight="1" x14ac:dyDescent="0.25">
      <c r="B45" s="4">
        <f t="shared" si="2"/>
        <v>29</v>
      </c>
      <c r="C45" s="14"/>
      <c r="D45" s="7" t="s">
        <v>601</v>
      </c>
      <c r="E45" s="49"/>
      <c r="F45" s="15"/>
      <c r="G45" s="7"/>
      <c r="H45" s="366">
        <v>3137142</v>
      </c>
      <c r="I45" s="11" t="s">
        <v>154</v>
      </c>
      <c r="J45" s="201"/>
      <c r="L45" s="203"/>
      <c r="M45" s="204"/>
      <c r="N45" s="290"/>
      <c r="O45" s="294"/>
      <c r="P45" s="290"/>
      <c r="Q45" s="294"/>
      <c r="R45" s="302"/>
    </row>
    <row r="46" spans="2:18" ht="20.100000000000001" customHeight="1" x14ac:dyDescent="0.25">
      <c r="B46" s="4">
        <f t="shared" si="2"/>
        <v>30</v>
      </c>
      <c r="C46" s="14"/>
      <c r="D46" s="7" t="s">
        <v>324</v>
      </c>
      <c r="E46" s="49"/>
      <c r="F46" s="15"/>
      <c r="G46" s="7"/>
      <c r="H46" s="366">
        <v>25000</v>
      </c>
      <c r="I46" s="10" t="s">
        <v>167</v>
      </c>
      <c r="J46" s="200"/>
      <c r="L46" s="203" t="s">
        <v>412</v>
      </c>
      <c r="M46" s="204">
        <v>20000</v>
      </c>
      <c r="N46" s="290">
        <v>57200</v>
      </c>
      <c r="O46" s="294">
        <f t="shared" si="0"/>
        <v>52000</v>
      </c>
      <c r="P46" s="290">
        <v>20000</v>
      </c>
      <c r="Q46" s="294">
        <f t="shared" si="1"/>
        <v>18181.81818181818</v>
      </c>
      <c r="R46" s="302">
        <v>20000</v>
      </c>
    </row>
    <row r="47" spans="2:18" ht="20.100000000000001" customHeight="1" x14ac:dyDescent="0.25">
      <c r="B47" s="4">
        <f t="shared" si="2"/>
        <v>31</v>
      </c>
      <c r="C47" s="14"/>
      <c r="D47" s="7" t="s">
        <v>108</v>
      </c>
      <c r="E47" s="49"/>
      <c r="F47" s="7"/>
      <c r="G47" s="207"/>
      <c r="H47" s="366">
        <v>45000</v>
      </c>
      <c r="I47" s="10" t="s">
        <v>157</v>
      </c>
      <c r="J47" s="200"/>
      <c r="L47" s="203"/>
      <c r="M47" s="204"/>
      <c r="N47" s="290"/>
      <c r="O47" s="294"/>
      <c r="P47" s="290"/>
      <c r="Q47" s="294"/>
      <c r="R47" s="302"/>
    </row>
    <row r="48" spans="2:18" ht="20.100000000000001" hidden="1" customHeight="1" x14ac:dyDescent="0.25">
      <c r="B48" s="4"/>
      <c r="C48" s="14"/>
      <c r="D48" s="7"/>
      <c r="E48" s="49"/>
      <c r="F48" s="7"/>
      <c r="G48" s="207"/>
      <c r="H48" s="366"/>
      <c r="I48" s="10"/>
      <c r="J48" s="200"/>
      <c r="L48" s="203" t="s">
        <v>108</v>
      </c>
      <c r="M48" s="204">
        <v>15750</v>
      </c>
      <c r="N48" s="290">
        <v>48400</v>
      </c>
      <c r="O48" s="294">
        <f t="shared" si="0"/>
        <v>44000</v>
      </c>
      <c r="P48" s="290">
        <v>15750</v>
      </c>
      <c r="Q48" s="294">
        <f t="shared" si="1"/>
        <v>14318.181818181818</v>
      </c>
      <c r="R48" s="302">
        <v>62100</v>
      </c>
    </row>
    <row r="49" spans="2:18" ht="20.100000000000001" hidden="1" customHeight="1" x14ac:dyDescent="0.25">
      <c r="B49" s="6"/>
      <c r="C49" s="136"/>
      <c r="D49" s="9" t="s">
        <v>168</v>
      </c>
      <c r="E49" s="49"/>
      <c r="F49" s="9"/>
      <c r="G49" s="206"/>
      <c r="H49" s="366"/>
      <c r="I49" s="5"/>
      <c r="J49" s="198"/>
      <c r="L49" s="773" t="s">
        <v>168</v>
      </c>
      <c r="M49" s="204"/>
      <c r="N49" s="290"/>
      <c r="O49" s="294">
        <f t="shared" si="0"/>
        <v>0</v>
      </c>
      <c r="P49" s="290"/>
      <c r="Q49" s="294">
        <f t="shared" si="1"/>
        <v>0</v>
      </c>
      <c r="R49" s="302"/>
    </row>
    <row r="50" spans="2:18" ht="20.100000000000001" customHeight="1" x14ac:dyDescent="0.25">
      <c r="B50" s="4">
        <f>B47+1</f>
        <v>32</v>
      </c>
      <c r="C50" s="136"/>
      <c r="D50" s="7" t="s">
        <v>882</v>
      </c>
      <c r="E50" s="49"/>
      <c r="F50" s="9"/>
      <c r="G50" s="206"/>
      <c r="H50" s="366">
        <v>58000</v>
      </c>
      <c r="I50" s="5" t="s">
        <v>435</v>
      </c>
      <c r="J50" s="198"/>
      <c r="L50" s="203" t="s">
        <v>479</v>
      </c>
      <c r="M50" s="204">
        <f>76650/7*6</f>
        <v>65700</v>
      </c>
      <c r="N50" s="290">
        <v>55000</v>
      </c>
      <c r="O50" s="294">
        <f t="shared" si="0"/>
        <v>50000</v>
      </c>
      <c r="P50" s="290">
        <f>6900*6</f>
        <v>41400</v>
      </c>
      <c r="Q50" s="294">
        <f t="shared" si="1"/>
        <v>37636.363636363632</v>
      </c>
      <c r="R50" s="302">
        <v>70000</v>
      </c>
    </row>
    <row r="51" spans="2:18" ht="20.100000000000001" customHeight="1" x14ac:dyDescent="0.25">
      <c r="B51" s="4">
        <f>B50+1</f>
        <v>33</v>
      </c>
      <c r="C51" s="136"/>
      <c r="D51" s="7" t="s">
        <v>523</v>
      </c>
      <c r="E51" s="49"/>
      <c r="F51" s="9"/>
      <c r="G51" s="206"/>
      <c r="H51" s="366">
        <v>25000</v>
      </c>
      <c r="I51" s="5" t="s">
        <v>109</v>
      </c>
      <c r="J51" s="198"/>
      <c r="L51" s="203" t="s">
        <v>480</v>
      </c>
      <c r="M51" s="204">
        <v>108000</v>
      </c>
      <c r="N51" s="290">
        <v>88000</v>
      </c>
      <c r="O51" s="294">
        <f t="shared" si="0"/>
        <v>80000</v>
      </c>
      <c r="P51" s="290">
        <f>6900*7</f>
        <v>48300</v>
      </c>
      <c r="Q51" s="294">
        <f t="shared" si="1"/>
        <v>43909.090909090904</v>
      </c>
      <c r="R51" s="302">
        <f>10000*7</f>
        <v>70000</v>
      </c>
    </row>
    <row r="52" spans="2:18" ht="20.100000000000001" customHeight="1" x14ac:dyDescent="0.25">
      <c r="B52" s="4">
        <f>B51+1</f>
        <v>34</v>
      </c>
      <c r="C52" s="136"/>
      <c r="D52" s="7" t="s">
        <v>264</v>
      </c>
      <c r="E52" s="49"/>
      <c r="F52" s="15"/>
      <c r="G52" s="7"/>
      <c r="H52" s="366">
        <v>46000</v>
      </c>
      <c r="I52" s="5" t="s">
        <v>157</v>
      </c>
      <c r="J52" s="198"/>
      <c r="L52" s="203" t="s">
        <v>480</v>
      </c>
      <c r="M52" s="204">
        <f>15750*3.33</f>
        <v>52447.5</v>
      </c>
      <c r="N52" s="290">
        <f>15750*3.33</f>
        <v>52447.5</v>
      </c>
      <c r="O52" s="294">
        <f t="shared" si="0"/>
        <v>47679.545454545456</v>
      </c>
      <c r="P52" s="290">
        <v>20600</v>
      </c>
      <c r="Q52" s="294">
        <f t="shared" si="1"/>
        <v>18727.272727272728</v>
      </c>
      <c r="R52" s="302">
        <v>35000</v>
      </c>
    </row>
    <row r="53" spans="2:18" ht="20.100000000000001" customHeight="1" x14ac:dyDescent="0.25">
      <c r="B53" s="4">
        <f t="shared" ref="B53:B59" si="3">B50+1</f>
        <v>33</v>
      </c>
      <c r="C53" s="136"/>
      <c r="D53" s="7" t="s">
        <v>316</v>
      </c>
      <c r="E53" s="49"/>
      <c r="F53" s="15"/>
      <c r="G53" s="7"/>
      <c r="H53" s="366">
        <f t="shared" ref="H53:H59" si="4">R54</f>
        <v>0</v>
      </c>
      <c r="I53" s="5" t="s">
        <v>160</v>
      </c>
      <c r="J53" s="198"/>
      <c r="L53" s="203" t="s">
        <v>169</v>
      </c>
      <c r="M53" s="204">
        <v>200000</v>
      </c>
      <c r="N53" s="290"/>
      <c r="O53" s="294">
        <f t="shared" si="0"/>
        <v>0</v>
      </c>
      <c r="P53" s="290"/>
      <c r="Q53" s="294">
        <f t="shared" si="1"/>
        <v>0</v>
      </c>
      <c r="R53" s="302"/>
    </row>
    <row r="54" spans="2:18" ht="20.100000000000001" customHeight="1" x14ac:dyDescent="0.25">
      <c r="B54" s="4">
        <f t="shared" si="3"/>
        <v>34</v>
      </c>
      <c r="C54" s="136"/>
      <c r="D54" s="7" t="s">
        <v>232</v>
      </c>
      <c r="E54" s="49"/>
      <c r="F54" s="15"/>
      <c r="G54" s="7"/>
      <c r="H54" s="366">
        <f t="shared" si="4"/>
        <v>0</v>
      </c>
      <c r="I54" s="5" t="s">
        <v>170</v>
      </c>
      <c r="J54" s="198"/>
      <c r="L54" s="203" t="s">
        <v>316</v>
      </c>
      <c r="M54" s="204">
        <v>100000</v>
      </c>
      <c r="N54" s="290"/>
      <c r="O54" s="294">
        <f t="shared" si="0"/>
        <v>0</v>
      </c>
      <c r="P54" s="290"/>
      <c r="Q54" s="294">
        <f t="shared" si="1"/>
        <v>0</v>
      </c>
      <c r="R54" s="302"/>
    </row>
    <row r="55" spans="2:18" ht="20.100000000000001" customHeight="1" x14ac:dyDescent="0.25">
      <c r="B55" s="4">
        <f t="shared" si="3"/>
        <v>35</v>
      </c>
      <c r="C55" s="136"/>
      <c r="D55" s="7" t="s">
        <v>413</v>
      </c>
      <c r="E55" s="49"/>
      <c r="F55" s="15"/>
      <c r="G55" s="7"/>
      <c r="H55" s="366">
        <f t="shared" si="4"/>
        <v>0</v>
      </c>
      <c r="I55" s="5" t="s">
        <v>170</v>
      </c>
      <c r="J55" s="198"/>
      <c r="L55" s="203" t="s">
        <v>232</v>
      </c>
      <c r="M55" s="204">
        <v>88000</v>
      </c>
      <c r="N55" s="290"/>
      <c r="O55" s="294">
        <f t="shared" si="0"/>
        <v>0</v>
      </c>
      <c r="P55" s="290"/>
      <c r="Q55" s="294">
        <f t="shared" si="1"/>
        <v>0</v>
      </c>
      <c r="R55" s="302"/>
    </row>
    <row r="56" spans="2:18" ht="20.100000000000001" customHeight="1" x14ac:dyDescent="0.25">
      <c r="B56" s="4">
        <f t="shared" si="3"/>
        <v>34</v>
      </c>
      <c r="C56" s="136"/>
      <c r="D56" s="7" t="s">
        <v>216</v>
      </c>
      <c r="E56" s="49"/>
      <c r="F56" s="15"/>
      <c r="G56" s="7"/>
      <c r="H56" s="366">
        <f t="shared" si="4"/>
        <v>0</v>
      </c>
      <c r="I56" s="10" t="s">
        <v>171</v>
      </c>
      <c r="J56" s="198"/>
      <c r="L56" s="203" t="s">
        <v>413</v>
      </c>
      <c r="M56" s="204">
        <v>90000</v>
      </c>
      <c r="N56" s="290"/>
      <c r="O56" s="294">
        <f t="shared" si="0"/>
        <v>0</v>
      </c>
      <c r="P56" s="290"/>
      <c r="Q56" s="294">
        <f t="shared" si="1"/>
        <v>0</v>
      </c>
      <c r="R56" s="302"/>
    </row>
    <row r="57" spans="2:18" ht="20.100000000000001" customHeight="1" x14ac:dyDescent="0.25">
      <c r="B57" s="4">
        <f t="shared" si="3"/>
        <v>35</v>
      </c>
      <c r="C57" s="136"/>
      <c r="D57" s="7" t="s">
        <v>415</v>
      </c>
      <c r="E57" s="49"/>
      <c r="F57" s="15"/>
      <c r="G57" s="7"/>
      <c r="H57" s="366">
        <f t="shared" si="4"/>
        <v>0</v>
      </c>
      <c r="I57" s="5" t="s">
        <v>170</v>
      </c>
      <c r="J57" s="200"/>
      <c r="L57" s="203" t="s">
        <v>414</v>
      </c>
      <c r="M57" s="204">
        <v>48470</v>
      </c>
      <c r="N57" s="290"/>
      <c r="O57" s="294">
        <f t="shared" si="0"/>
        <v>0</v>
      </c>
      <c r="P57" s="290"/>
      <c r="Q57" s="294">
        <f t="shared" si="1"/>
        <v>0</v>
      </c>
      <c r="R57" s="302"/>
    </row>
    <row r="58" spans="2:18" ht="20.100000000000001" customHeight="1" x14ac:dyDescent="0.25">
      <c r="B58" s="4">
        <f t="shared" si="3"/>
        <v>36</v>
      </c>
      <c r="C58" s="136"/>
      <c r="D58" s="7" t="s">
        <v>233</v>
      </c>
      <c r="E58" s="49"/>
      <c r="F58" s="15"/>
      <c r="G58" s="7"/>
      <c r="H58" s="366">
        <f t="shared" si="4"/>
        <v>0</v>
      </c>
      <c r="I58" s="10" t="s">
        <v>171</v>
      </c>
      <c r="J58" s="198"/>
      <c r="L58" s="203" t="s">
        <v>415</v>
      </c>
      <c r="M58" s="204">
        <v>54625</v>
      </c>
      <c r="N58" s="290"/>
      <c r="O58" s="294">
        <f t="shared" si="0"/>
        <v>0</v>
      </c>
      <c r="P58" s="290"/>
      <c r="Q58" s="294">
        <f t="shared" si="1"/>
        <v>0</v>
      </c>
      <c r="R58" s="302"/>
    </row>
    <row r="59" spans="2:18" ht="20.100000000000001" customHeight="1" x14ac:dyDescent="0.25">
      <c r="B59" s="4">
        <f t="shared" si="3"/>
        <v>35</v>
      </c>
      <c r="C59" s="136"/>
      <c r="D59" s="7" t="s">
        <v>172</v>
      </c>
      <c r="E59" s="49"/>
      <c r="F59" s="15"/>
      <c r="G59" s="7"/>
      <c r="H59" s="366">
        <f t="shared" si="4"/>
        <v>0</v>
      </c>
      <c r="I59" s="5" t="s">
        <v>173</v>
      </c>
      <c r="J59" s="200"/>
      <c r="L59" s="203" t="s">
        <v>233</v>
      </c>
      <c r="M59" s="204">
        <f>21000/4</f>
        <v>5250</v>
      </c>
      <c r="N59" s="290"/>
      <c r="O59" s="294">
        <f t="shared" si="0"/>
        <v>0</v>
      </c>
      <c r="P59" s="290"/>
      <c r="Q59" s="294">
        <f t="shared" si="1"/>
        <v>0</v>
      </c>
      <c r="R59" s="302"/>
    </row>
    <row r="60" spans="2:18" ht="20.100000000000001" customHeight="1" x14ac:dyDescent="0.25">
      <c r="B60" s="4">
        <f>B52+1</f>
        <v>35</v>
      </c>
      <c r="C60" s="136"/>
      <c r="D60" s="7" t="s">
        <v>478</v>
      </c>
      <c r="E60" s="49"/>
      <c r="F60" s="15"/>
      <c r="G60" s="7"/>
      <c r="H60" s="366">
        <f>'Hrg. Sat. Upah (3)'!D38</f>
        <v>40000</v>
      </c>
      <c r="I60" s="5" t="s">
        <v>157</v>
      </c>
      <c r="J60" s="198"/>
      <c r="L60" s="203" t="s">
        <v>172</v>
      </c>
      <c r="M60" s="204">
        <v>530</v>
      </c>
      <c r="N60" s="290"/>
      <c r="O60" s="294">
        <f t="shared" si="0"/>
        <v>0</v>
      </c>
      <c r="P60" s="290"/>
      <c r="Q60" s="294">
        <f t="shared" si="1"/>
        <v>0</v>
      </c>
      <c r="R60" s="302"/>
    </row>
    <row r="61" spans="2:18" ht="20.100000000000001" customHeight="1" x14ac:dyDescent="0.25">
      <c r="B61" s="4">
        <f>B53+1</f>
        <v>34</v>
      </c>
      <c r="C61" s="136"/>
      <c r="D61" s="7" t="s">
        <v>512</v>
      </c>
      <c r="E61" s="49"/>
      <c r="F61" s="15"/>
      <c r="G61" s="7"/>
      <c r="H61" s="366">
        <f>'Hrg. Sat. Upah (3)'!D34</f>
        <v>11000</v>
      </c>
      <c r="I61" s="5" t="s">
        <v>58</v>
      </c>
      <c r="J61" s="198"/>
      <c r="L61" s="203" t="s">
        <v>478</v>
      </c>
      <c r="M61" s="204">
        <v>40370</v>
      </c>
      <c r="N61" s="290">
        <v>36000</v>
      </c>
      <c r="O61" s="294">
        <f t="shared" si="0"/>
        <v>32727.272727272728</v>
      </c>
      <c r="P61" s="290">
        <v>21200</v>
      </c>
      <c r="Q61" s="294">
        <f t="shared" si="1"/>
        <v>19272.727272727272</v>
      </c>
      <c r="R61" s="302">
        <v>25000</v>
      </c>
    </row>
    <row r="62" spans="2:18" ht="20.100000000000001" customHeight="1" x14ac:dyDescent="0.25">
      <c r="B62" s="4">
        <f>B61+1</f>
        <v>35</v>
      </c>
      <c r="C62" s="136"/>
      <c r="D62" s="7" t="s">
        <v>519</v>
      </c>
      <c r="E62" s="49"/>
      <c r="F62" s="15"/>
      <c r="G62" s="7"/>
      <c r="H62" s="366">
        <v>1000</v>
      </c>
      <c r="I62" s="5" t="s">
        <v>240</v>
      </c>
      <c r="J62" s="198"/>
      <c r="L62" s="203"/>
      <c r="M62" s="204"/>
      <c r="N62" s="290"/>
      <c r="O62" s="294"/>
      <c r="P62" s="290"/>
      <c r="Q62" s="294"/>
      <c r="R62" s="302"/>
    </row>
    <row r="63" spans="2:18" s="1124" customFormat="1" ht="20.100000000000001" customHeight="1" x14ac:dyDescent="0.25">
      <c r="B63" s="1116">
        <f t="shared" ref="B63:B95" si="5">B62+1</f>
        <v>36</v>
      </c>
      <c r="C63" s="1117"/>
      <c r="D63" s="1118" t="s">
        <v>520</v>
      </c>
      <c r="E63" s="1119"/>
      <c r="F63" s="1120"/>
      <c r="G63" s="1118"/>
      <c r="H63" s="1121">
        <v>35000</v>
      </c>
      <c r="I63" s="1122" t="s">
        <v>109</v>
      </c>
      <c r="J63" s="1123"/>
      <c r="L63" s="1125" t="s">
        <v>483</v>
      </c>
      <c r="M63" s="1126">
        <v>23500</v>
      </c>
      <c r="N63" s="1127">
        <v>17500</v>
      </c>
      <c r="O63" s="1128">
        <f t="shared" si="0"/>
        <v>15909.090909090908</v>
      </c>
      <c r="P63" s="1127">
        <v>24000</v>
      </c>
      <c r="Q63" s="1128">
        <f t="shared" si="1"/>
        <v>21818.181818181816</v>
      </c>
      <c r="R63" s="1129">
        <v>17000</v>
      </c>
    </row>
    <row r="64" spans="2:18" s="1124" customFormat="1" ht="20.100000000000001" customHeight="1" x14ac:dyDescent="0.25">
      <c r="B64" s="1116">
        <f t="shared" si="5"/>
        <v>37</v>
      </c>
      <c r="C64" s="1117"/>
      <c r="D64" s="1118" t="s">
        <v>521</v>
      </c>
      <c r="E64" s="1119"/>
      <c r="F64" s="1120"/>
      <c r="G64" s="1118"/>
      <c r="H64" s="1121">
        <f>7200*1.1</f>
        <v>7920.0000000000009</v>
      </c>
      <c r="I64" s="1122" t="s">
        <v>109</v>
      </c>
      <c r="J64" s="1123"/>
      <c r="L64" s="1125"/>
      <c r="M64" s="1126"/>
      <c r="N64" s="1127"/>
      <c r="O64" s="1128"/>
      <c r="P64" s="1127"/>
      <c r="Q64" s="1128"/>
      <c r="R64" s="1129"/>
    </row>
    <row r="65" spans="2:18" ht="20.100000000000001" customHeight="1" x14ac:dyDescent="0.25">
      <c r="B65" s="4">
        <f t="shared" si="5"/>
        <v>38</v>
      </c>
      <c r="C65" s="136"/>
      <c r="D65" s="7" t="s">
        <v>522</v>
      </c>
      <c r="E65" s="49"/>
      <c r="F65" s="15"/>
      <c r="G65" s="7"/>
      <c r="H65" s="366">
        <v>37000</v>
      </c>
      <c r="I65" s="5" t="s">
        <v>109</v>
      </c>
      <c r="J65" s="198"/>
      <c r="L65" s="203"/>
      <c r="M65" s="204"/>
      <c r="N65" s="290"/>
      <c r="O65" s="294"/>
      <c r="P65" s="290"/>
      <c r="Q65" s="294"/>
      <c r="R65" s="302"/>
    </row>
    <row r="66" spans="2:18" ht="20.100000000000001" customHeight="1" x14ac:dyDescent="0.25">
      <c r="B66" s="4">
        <f t="shared" si="5"/>
        <v>39</v>
      </c>
      <c r="C66" s="136"/>
      <c r="D66" s="7" t="s">
        <v>644</v>
      </c>
      <c r="E66" s="49"/>
      <c r="F66" s="15"/>
      <c r="G66" s="7"/>
      <c r="H66" s="366">
        <v>3000000</v>
      </c>
      <c r="I66" s="5" t="s">
        <v>235</v>
      </c>
      <c r="J66" s="198"/>
      <c r="L66" s="203">
        <f>98000/4</f>
        <v>24500</v>
      </c>
      <c r="M66" s="204"/>
      <c r="N66" s="290"/>
      <c r="O66" s="294"/>
      <c r="P66" s="290"/>
      <c r="Q66" s="294"/>
      <c r="R66" s="302"/>
    </row>
    <row r="67" spans="2:18" ht="20.100000000000001" customHeight="1" x14ac:dyDescent="0.25">
      <c r="B67" s="4">
        <f t="shared" si="5"/>
        <v>40</v>
      </c>
      <c r="C67" s="136"/>
      <c r="D67" s="7" t="s">
        <v>485</v>
      </c>
      <c r="E67" s="49"/>
      <c r="F67" s="15"/>
      <c r="G67" s="7"/>
      <c r="H67" s="366">
        <v>300000</v>
      </c>
      <c r="I67" s="5" t="s">
        <v>235</v>
      </c>
      <c r="J67" s="198"/>
      <c r="L67" s="203"/>
      <c r="M67" s="204"/>
      <c r="N67" s="290"/>
      <c r="O67" s="294"/>
      <c r="P67" s="290"/>
      <c r="Q67" s="294"/>
      <c r="R67" s="302"/>
    </row>
    <row r="68" spans="2:18" ht="20.100000000000001" customHeight="1" x14ac:dyDescent="0.25">
      <c r="B68" s="4">
        <f t="shared" si="5"/>
        <v>41</v>
      </c>
      <c r="C68" s="136"/>
      <c r="D68" s="7" t="s">
        <v>486</v>
      </c>
      <c r="E68" s="634"/>
      <c r="F68" s="15"/>
      <c r="G68" s="7"/>
      <c r="H68" s="366">
        <v>450000</v>
      </c>
      <c r="I68" s="22" t="s">
        <v>173</v>
      </c>
      <c r="J68" s="198"/>
      <c r="L68" s="203"/>
      <c r="M68" s="204"/>
      <c r="N68" s="290"/>
      <c r="O68" s="294"/>
      <c r="P68" s="290"/>
      <c r="Q68" s="294"/>
      <c r="R68" s="302"/>
    </row>
    <row r="69" spans="2:18" ht="20.100000000000001" customHeight="1" x14ac:dyDescent="0.25">
      <c r="B69" s="4">
        <f t="shared" si="5"/>
        <v>42</v>
      </c>
      <c r="C69" s="136"/>
      <c r="D69" s="7" t="s">
        <v>487</v>
      </c>
      <c r="E69" s="634"/>
      <c r="F69" s="15"/>
      <c r="G69" s="7"/>
      <c r="H69" s="366">
        <v>245000</v>
      </c>
      <c r="I69" s="22" t="s">
        <v>173</v>
      </c>
      <c r="J69" s="198"/>
      <c r="L69" s="203"/>
      <c r="M69" s="204"/>
      <c r="N69" s="290"/>
      <c r="O69" s="294"/>
      <c r="P69" s="290"/>
      <c r="Q69" s="294"/>
      <c r="R69" s="302"/>
    </row>
    <row r="70" spans="2:18" ht="20.100000000000001" customHeight="1" x14ac:dyDescent="0.25">
      <c r="B70" s="4">
        <f t="shared" si="5"/>
        <v>43</v>
      </c>
      <c r="C70" s="136"/>
      <c r="D70" s="1473" t="s">
        <v>488</v>
      </c>
      <c r="E70" s="634"/>
      <c r="F70" s="15"/>
      <c r="G70" s="7"/>
      <c r="H70" s="366">
        <v>60000</v>
      </c>
      <c r="I70" s="22" t="s">
        <v>173</v>
      </c>
      <c r="J70" s="198"/>
      <c r="L70" s="203" t="s">
        <v>485</v>
      </c>
      <c r="M70" s="204">
        <v>373000</v>
      </c>
      <c r="N70" s="290">
        <v>440000</v>
      </c>
      <c r="O70" s="294">
        <f t="shared" si="0"/>
        <v>400000</v>
      </c>
      <c r="P70" s="290">
        <v>440000</v>
      </c>
      <c r="Q70" s="294">
        <f t="shared" si="1"/>
        <v>400000</v>
      </c>
      <c r="R70" s="302">
        <v>400000</v>
      </c>
    </row>
    <row r="71" spans="2:18" ht="20.100000000000001" customHeight="1" x14ac:dyDescent="0.25">
      <c r="B71" s="4">
        <f t="shared" si="5"/>
        <v>44</v>
      </c>
      <c r="C71" s="136"/>
      <c r="D71" s="1474" t="s">
        <v>745</v>
      </c>
      <c r="E71" s="634"/>
      <c r="F71" s="15"/>
      <c r="G71" s="7"/>
      <c r="H71" s="366">
        <v>56100</v>
      </c>
      <c r="I71" s="22" t="s">
        <v>742</v>
      </c>
      <c r="J71" s="198"/>
      <c r="L71" s="203" t="s">
        <v>487</v>
      </c>
      <c r="M71" s="204">
        <v>480000</v>
      </c>
      <c r="N71" s="290"/>
      <c r="O71" s="294">
        <f t="shared" si="0"/>
        <v>0</v>
      </c>
      <c r="P71" s="290"/>
      <c r="Q71" s="294">
        <f t="shared" si="1"/>
        <v>0</v>
      </c>
      <c r="R71" s="302"/>
    </row>
    <row r="72" spans="2:18" ht="20.100000000000001" customHeight="1" x14ac:dyDescent="0.25">
      <c r="B72" s="4">
        <f t="shared" si="5"/>
        <v>45</v>
      </c>
      <c r="C72" s="136"/>
      <c r="D72" s="1474" t="s">
        <v>750</v>
      </c>
      <c r="E72" s="634"/>
      <c r="F72" s="15"/>
      <c r="G72" s="7"/>
      <c r="H72" s="366">
        <v>56000</v>
      </c>
      <c r="I72" s="22" t="s">
        <v>89</v>
      </c>
      <c r="J72" s="198"/>
      <c r="L72" s="203"/>
      <c r="M72" s="204"/>
      <c r="N72" s="290"/>
      <c r="O72" s="294"/>
      <c r="P72" s="290"/>
      <c r="Q72" s="294"/>
      <c r="R72" s="302"/>
    </row>
    <row r="73" spans="2:18" ht="20.100000000000001" customHeight="1" x14ac:dyDescent="0.25">
      <c r="B73" s="4">
        <f t="shared" si="5"/>
        <v>46</v>
      </c>
      <c r="C73" s="136"/>
      <c r="D73" s="1474" t="s">
        <v>751</v>
      </c>
      <c r="E73" s="634"/>
      <c r="F73" s="15"/>
      <c r="G73" s="7"/>
      <c r="H73" s="366">
        <v>700</v>
      </c>
      <c r="I73" s="22" t="s">
        <v>58</v>
      </c>
      <c r="J73" s="198"/>
      <c r="L73" s="203"/>
      <c r="M73" s="204"/>
      <c r="N73" s="290"/>
      <c r="O73" s="294"/>
      <c r="P73" s="290"/>
      <c r="Q73" s="294"/>
      <c r="R73" s="302"/>
    </row>
    <row r="74" spans="2:18" s="1124" customFormat="1" ht="20.100000000000001" customHeight="1" x14ac:dyDescent="0.25">
      <c r="B74" s="1116">
        <f t="shared" si="5"/>
        <v>47</v>
      </c>
      <c r="C74" s="1117"/>
      <c r="D74" s="1130" t="s">
        <v>761</v>
      </c>
      <c r="E74" s="1131"/>
      <c r="F74" s="1120"/>
      <c r="G74" s="1118"/>
      <c r="H74" s="1121">
        <v>22000</v>
      </c>
      <c r="I74" s="1132" t="s">
        <v>755</v>
      </c>
      <c r="J74" s="1123"/>
      <c r="L74" s="1133">
        <f>2.4*1.2</f>
        <v>2.88</v>
      </c>
      <c r="M74" s="1134">
        <f>L74*L75*7850</f>
        <v>33.911999999999999</v>
      </c>
      <c r="N74" s="1135"/>
      <c r="O74" s="1128"/>
      <c r="P74" s="1127"/>
      <c r="Q74" s="1128"/>
      <c r="R74" s="1129"/>
    </row>
    <row r="75" spans="2:18" s="1124" customFormat="1" ht="20.100000000000001" customHeight="1" x14ac:dyDescent="0.25">
      <c r="B75" s="1116">
        <f t="shared" si="5"/>
        <v>48</v>
      </c>
      <c r="C75" s="1117"/>
      <c r="D75" s="1472" t="s">
        <v>913</v>
      </c>
      <c r="E75" s="1131"/>
      <c r="F75" s="1120"/>
      <c r="G75" s="1118"/>
      <c r="H75" s="1121">
        <f>H74</f>
        <v>22000</v>
      </c>
      <c r="I75" s="1132" t="s">
        <v>755</v>
      </c>
      <c r="J75" s="1123"/>
      <c r="L75" s="1133">
        <v>1.5E-3</v>
      </c>
      <c r="M75" s="1134">
        <v>465000</v>
      </c>
      <c r="N75" s="1135">
        <f>M75/M74</f>
        <v>13711.960368011323</v>
      </c>
      <c r="O75" s="1128"/>
      <c r="P75" s="1127"/>
      <c r="Q75" s="1128"/>
      <c r="R75" s="1129"/>
    </row>
    <row r="76" spans="2:18" ht="20.100000000000001" customHeight="1" x14ac:dyDescent="0.25">
      <c r="B76" s="4">
        <f t="shared" si="5"/>
        <v>49</v>
      </c>
      <c r="C76" s="136"/>
      <c r="D76" s="776" t="s">
        <v>765</v>
      </c>
      <c r="E76" s="634"/>
      <c r="F76" s="15"/>
      <c r="G76" s="7"/>
      <c r="H76" s="366">
        <v>95000</v>
      </c>
      <c r="I76" s="22" t="s">
        <v>89</v>
      </c>
      <c r="J76" s="198"/>
      <c r="L76" s="782"/>
      <c r="M76" s="783"/>
      <c r="N76" s="784"/>
      <c r="O76" s="294"/>
      <c r="P76" s="290"/>
      <c r="Q76" s="294"/>
      <c r="R76" s="302"/>
    </row>
    <row r="77" spans="2:18" ht="20.100000000000001" customHeight="1" x14ac:dyDescent="0.25">
      <c r="B77" s="4">
        <f t="shared" si="5"/>
        <v>50</v>
      </c>
      <c r="C77" s="136"/>
      <c r="D77" s="7" t="s">
        <v>623</v>
      </c>
      <c r="E77" s="49"/>
      <c r="F77" s="15"/>
      <c r="G77" s="7"/>
      <c r="H77" s="366">
        <f>'Hrg. Sat. Upah (3)'!D39</f>
        <v>18400</v>
      </c>
      <c r="I77" s="5" t="s">
        <v>157</v>
      </c>
      <c r="J77" s="198"/>
      <c r="L77" s="203"/>
      <c r="M77" s="204"/>
      <c r="N77" s="290"/>
      <c r="O77" s="294">
        <f t="shared" si="0"/>
        <v>0</v>
      </c>
      <c r="P77" s="290"/>
      <c r="Q77" s="294">
        <f t="shared" si="1"/>
        <v>0</v>
      </c>
      <c r="R77" s="302"/>
    </row>
    <row r="78" spans="2:18" ht="20.100000000000001" customHeight="1" x14ac:dyDescent="0.25">
      <c r="B78" s="4">
        <f t="shared" si="5"/>
        <v>51</v>
      </c>
      <c r="C78" s="136"/>
      <c r="D78" s="7" t="s">
        <v>400</v>
      </c>
      <c r="E78" s="49"/>
      <c r="F78" s="15"/>
      <c r="G78" s="7"/>
      <c r="H78" s="366">
        <v>12000</v>
      </c>
      <c r="I78" s="10" t="s">
        <v>171</v>
      </c>
      <c r="J78" s="198"/>
      <c r="L78" s="203" t="s">
        <v>234</v>
      </c>
      <c r="M78" s="204">
        <f>25000*1.1</f>
        <v>27500.000000000004</v>
      </c>
      <c r="N78" s="290"/>
      <c r="O78" s="294">
        <f t="shared" si="0"/>
        <v>0</v>
      </c>
      <c r="P78" s="290"/>
      <c r="Q78" s="294">
        <f t="shared" si="1"/>
        <v>0</v>
      </c>
      <c r="R78" s="302"/>
    </row>
    <row r="79" spans="2:18" ht="20.100000000000001" customHeight="1" x14ac:dyDescent="0.25">
      <c r="B79" s="4">
        <f t="shared" si="5"/>
        <v>52</v>
      </c>
      <c r="C79" s="136"/>
      <c r="D79" s="7" t="s">
        <v>263</v>
      </c>
      <c r="E79" s="49"/>
      <c r="F79" s="15"/>
      <c r="G79" s="7"/>
      <c r="H79" s="366">
        <v>75000</v>
      </c>
      <c r="I79" s="10" t="s">
        <v>160</v>
      </c>
      <c r="J79" s="200"/>
      <c r="L79" s="203" t="s">
        <v>416</v>
      </c>
      <c r="M79" s="204">
        <v>14300</v>
      </c>
      <c r="N79" s="290"/>
      <c r="O79" s="294">
        <f t="shared" si="0"/>
        <v>0</v>
      </c>
      <c r="P79" s="290"/>
      <c r="Q79" s="294">
        <f t="shared" si="1"/>
        <v>0</v>
      </c>
      <c r="R79" s="302"/>
    </row>
    <row r="80" spans="2:18" ht="20.100000000000001" customHeight="1" x14ac:dyDescent="0.25">
      <c r="B80" s="4">
        <f t="shared" si="5"/>
        <v>53</v>
      </c>
      <c r="C80" s="136"/>
      <c r="D80" s="7" t="s">
        <v>174</v>
      </c>
      <c r="E80" s="49"/>
      <c r="F80" s="15"/>
      <c r="G80" s="7"/>
      <c r="H80" s="366">
        <v>10000</v>
      </c>
      <c r="I80" s="10" t="s">
        <v>157</v>
      </c>
      <c r="J80" s="200"/>
      <c r="L80" s="203" t="s">
        <v>417</v>
      </c>
      <c r="M80" s="204">
        <v>85000</v>
      </c>
      <c r="N80" s="290"/>
      <c r="O80" s="294">
        <f t="shared" si="0"/>
        <v>0</v>
      </c>
      <c r="P80" s="290"/>
      <c r="Q80" s="294">
        <f t="shared" si="1"/>
        <v>0</v>
      </c>
      <c r="R80" s="302"/>
    </row>
    <row r="81" spans="2:18" ht="20.100000000000001" customHeight="1" x14ac:dyDescent="0.25">
      <c r="B81" s="4">
        <v>54</v>
      </c>
      <c r="C81" s="136"/>
      <c r="D81" s="7" t="s">
        <v>1276</v>
      </c>
      <c r="E81" s="49"/>
      <c r="F81" s="7"/>
      <c r="G81" s="207"/>
      <c r="H81" s="366">
        <v>20000</v>
      </c>
      <c r="I81" s="10" t="s">
        <v>874</v>
      </c>
      <c r="J81" s="200"/>
      <c r="L81" s="203"/>
      <c r="M81" s="204"/>
      <c r="N81" s="290"/>
      <c r="O81" s="294"/>
      <c r="P81" s="290"/>
      <c r="Q81" s="294"/>
      <c r="R81" s="302"/>
    </row>
    <row r="82" spans="2:18" ht="20.100000000000001" customHeight="1" x14ac:dyDescent="0.25">
      <c r="B82" s="4"/>
      <c r="C82" s="136"/>
      <c r="D82" s="9" t="s">
        <v>312</v>
      </c>
      <c r="E82" s="49"/>
      <c r="F82" s="9"/>
      <c r="G82" s="206"/>
      <c r="H82" s="366"/>
      <c r="I82" s="5"/>
      <c r="J82" s="200"/>
      <c r="L82" s="203" t="s">
        <v>174</v>
      </c>
      <c r="M82" s="204">
        <f>10450*1.05</f>
        <v>10972.5</v>
      </c>
      <c r="N82" s="290"/>
      <c r="O82" s="294">
        <f t="shared" si="0"/>
        <v>0</v>
      </c>
      <c r="P82" s="290"/>
      <c r="Q82" s="294">
        <f t="shared" si="1"/>
        <v>0</v>
      </c>
      <c r="R82" s="302"/>
    </row>
    <row r="83" spans="2:18" ht="20.100000000000001" customHeight="1" x14ac:dyDescent="0.25">
      <c r="B83" s="4">
        <f t="shared" si="5"/>
        <v>1</v>
      </c>
      <c r="C83" s="136"/>
      <c r="D83" s="7" t="s">
        <v>251</v>
      </c>
      <c r="E83" s="49"/>
      <c r="F83" s="7"/>
      <c r="G83" s="207"/>
      <c r="H83" s="366">
        <v>115000</v>
      </c>
      <c r="I83" s="5" t="s">
        <v>1275</v>
      </c>
      <c r="J83" s="198"/>
      <c r="L83" s="773" t="s">
        <v>312</v>
      </c>
      <c r="M83" s="204"/>
      <c r="N83" s="290"/>
      <c r="O83" s="294">
        <f t="shared" si="0"/>
        <v>0</v>
      </c>
      <c r="P83" s="290"/>
      <c r="Q83" s="294">
        <f t="shared" si="1"/>
        <v>0</v>
      </c>
      <c r="R83" s="302"/>
    </row>
    <row r="84" spans="2:18" ht="20.100000000000001" customHeight="1" x14ac:dyDescent="0.25">
      <c r="B84" s="4">
        <f t="shared" si="5"/>
        <v>2</v>
      </c>
      <c r="C84" s="136"/>
      <c r="D84" s="7" t="s">
        <v>398</v>
      </c>
      <c r="E84" s="49"/>
      <c r="F84" s="7"/>
      <c r="G84" s="207"/>
      <c r="H84" s="366">
        <v>130000</v>
      </c>
      <c r="I84" s="5" t="s">
        <v>1275</v>
      </c>
      <c r="J84" s="198"/>
      <c r="L84" s="203" t="s">
        <v>418</v>
      </c>
      <c r="M84" s="204">
        <v>2640</v>
      </c>
      <c r="N84" s="290"/>
      <c r="O84" s="294">
        <f t="shared" si="0"/>
        <v>0</v>
      </c>
      <c r="P84" s="290"/>
      <c r="Q84" s="294">
        <f t="shared" si="1"/>
        <v>0</v>
      </c>
      <c r="R84" s="302"/>
    </row>
    <row r="85" spans="2:18" ht="20.100000000000001" customHeight="1" x14ac:dyDescent="0.25">
      <c r="B85" s="4">
        <f t="shared" si="5"/>
        <v>3</v>
      </c>
      <c r="C85" s="136"/>
      <c r="D85" s="7" t="s">
        <v>395</v>
      </c>
      <c r="E85" s="49"/>
      <c r="F85" s="7"/>
      <c r="G85" s="207"/>
      <c r="H85" s="366">
        <v>230000</v>
      </c>
      <c r="I85" s="5" t="s">
        <v>1275</v>
      </c>
      <c r="J85" s="198"/>
      <c r="L85" s="203" t="s">
        <v>419</v>
      </c>
      <c r="M85" s="204">
        <v>74500</v>
      </c>
      <c r="N85" s="290"/>
      <c r="O85" s="294">
        <f t="shared" si="0"/>
        <v>0</v>
      </c>
      <c r="P85" s="290"/>
      <c r="Q85" s="294">
        <v>265500</v>
      </c>
      <c r="R85" s="302"/>
    </row>
    <row r="86" spans="2:18" ht="20.100000000000001" customHeight="1" x14ac:dyDescent="0.25">
      <c r="B86" s="4">
        <f t="shared" si="5"/>
        <v>4</v>
      </c>
      <c r="C86" s="136"/>
      <c r="D86" s="7" t="s">
        <v>257</v>
      </c>
      <c r="E86" s="49"/>
      <c r="F86" s="7"/>
      <c r="G86" s="207"/>
      <c r="H86" s="366">
        <v>70000</v>
      </c>
      <c r="I86" s="5" t="s">
        <v>170</v>
      </c>
      <c r="J86" s="198"/>
      <c r="L86" s="203" t="s">
        <v>420</v>
      </c>
      <c r="M86" s="204">
        <v>66000</v>
      </c>
      <c r="N86" s="290"/>
      <c r="O86" s="294">
        <f t="shared" si="0"/>
        <v>0</v>
      </c>
      <c r="P86" s="290"/>
      <c r="Q86" s="294">
        <f t="shared" si="1"/>
        <v>0</v>
      </c>
      <c r="R86" s="302"/>
    </row>
    <row r="87" spans="2:18" ht="20.100000000000001" customHeight="1" x14ac:dyDescent="0.25">
      <c r="B87" s="4">
        <f t="shared" si="5"/>
        <v>5</v>
      </c>
      <c r="C87" s="136"/>
      <c r="D87" s="7" t="s">
        <v>259</v>
      </c>
      <c r="E87" s="49"/>
      <c r="F87" s="7"/>
      <c r="G87" s="207"/>
      <c r="H87" s="366">
        <v>20000</v>
      </c>
      <c r="I87" s="5" t="s">
        <v>157</v>
      </c>
      <c r="J87" s="198"/>
      <c r="L87" s="203" t="s">
        <v>257</v>
      </c>
      <c r="M87" s="204">
        <v>70000</v>
      </c>
      <c r="N87" s="290"/>
      <c r="O87" s="294">
        <f t="shared" ref="O87:O103" si="6">N87*(100/110)</f>
        <v>0</v>
      </c>
      <c r="P87" s="290"/>
      <c r="Q87" s="294">
        <f t="shared" ref="Q87:Q103" si="7">P87*(100/110)</f>
        <v>0</v>
      </c>
      <c r="R87" s="302"/>
    </row>
    <row r="88" spans="2:18" ht="20.100000000000001" customHeight="1" x14ac:dyDescent="0.25">
      <c r="B88" s="4">
        <f t="shared" si="5"/>
        <v>6</v>
      </c>
      <c r="C88" s="136"/>
      <c r="D88" s="7" t="s">
        <v>175</v>
      </c>
      <c r="E88" s="49"/>
      <c r="F88" s="7"/>
      <c r="G88" s="207"/>
      <c r="H88" s="366">
        <v>13000</v>
      </c>
      <c r="I88" s="10" t="s">
        <v>171</v>
      </c>
      <c r="J88" s="198"/>
      <c r="L88" s="203" t="s">
        <v>259</v>
      </c>
      <c r="M88" s="204">
        <v>20000</v>
      </c>
      <c r="N88" s="290"/>
      <c r="O88" s="294">
        <f t="shared" si="6"/>
        <v>0</v>
      </c>
      <c r="P88" s="290"/>
      <c r="Q88" s="294">
        <f t="shared" si="7"/>
        <v>0</v>
      </c>
      <c r="R88" s="302"/>
    </row>
    <row r="89" spans="2:18" ht="20.100000000000001" customHeight="1" x14ac:dyDescent="0.25">
      <c r="B89" s="4"/>
      <c r="C89" s="283"/>
      <c r="D89" s="27" t="s">
        <v>176</v>
      </c>
      <c r="E89" s="49"/>
      <c r="F89" s="27"/>
      <c r="G89" s="208"/>
      <c r="H89" s="366"/>
      <c r="I89" s="22"/>
      <c r="J89" s="200"/>
      <c r="L89" s="203" t="s">
        <v>175</v>
      </c>
      <c r="M89" s="204">
        <v>13000</v>
      </c>
      <c r="N89" s="290"/>
      <c r="O89" s="294">
        <f t="shared" si="6"/>
        <v>0</v>
      </c>
      <c r="P89" s="290"/>
      <c r="Q89" s="294">
        <f t="shared" si="7"/>
        <v>0</v>
      </c>
      <c r="R89" s="302"/>
    </row>
    <row r="90" spans="2:18" ht="20.100000000000001" customHeight="1" x14ac:dyDescent="0.25">
      <c r="B90" s="4">
        <f t="shared" si="5"/>
        <v>1</v>
      </c>
      <c r="C90" s="18"/>
      <c r="D90" s="19" t="s">
        <v>317</v>
      </c>
      <c r="E90" s="49"/>
      <c r="F90" s="19"/>
      <c r="G90" s="209"/>
      <c r="H90" s="366">
        <v>8000</v>
      </c>
      <c r="I90" s="22" t="s">
        <v>157</v>
      </c>
      <c r="J90" s="30"/>
      <c r="L90" s="777" t="s">
        <v>176</v>
      </c>
      <c r="M90" s="204"/>
      <c r="N90" s="290"/>
      <c r="O90" s="294">
        <f t="shared" si="6"/>
        <v>0</v>
      </c>
      <c r="P90" s="290"/>
      <c r="Q90" s="294">
        <f t="shared" si="7"/>
        <v>0</v>
      </c>
      <c r="R90" s="302"/>
    </row>
    <row r="91" spans="2:18" ht="20.100000000000001" customHeight="1" x14ac:dyDescent="0.25">
      <c r="B91" s="4">
        <f t="shared" si="5"/>
        <v>2</v>
      </c>
      <c r="C91" s="18"/>
      <c r="D91" s="19" t="s">
        <v>111</v>
      </c>
      <c r="E91" s="49"/>
      <c r="F91" s="21"/>
      <c r="G91" s="19"/>
      <c r="H91" s="366">
        <v>25000</v>
      </c>
      <c r="I91" s="22" t="s">
        <v>157</v>
      </c>
      <c r="J91" s="30"/>
      <c r="L91" s="203" t="s">
        <v>317</v>
      </c>
      <c r="M91" s="204">
        <v>19800</v>
      </c>
      <c r="N91" s="290">
        <v>27000</v>
      </c>
      <c r="O91" s="294">
        <f t="shared" si="6"/>
        <v>24545.454545454544</v>
      </c>
      <c r="P91" s="290">
        <v>27000</v>
      </c>
      <c r="Q91" s="294">
        <f t="shared" si="7"/>
        <v>24545.454545454544</v>
      </c>
      <c r="R91" s="302">
        <v>23000</v>
      </c>
    </row>
    <row r="92" spans="2:18" ht="20.100000000000001" customHeight="1" x14ac:dyDescent="0.25">
      <c r="B92" s="4">
        <f t="shared" si="5"/>
        <v>3</v>
      </c>
      <c r="C92" s="18"/>
      <c r="D92" s="19" t="s">
        <v>115</v>
      </c>
      <c r="E92" s="49"/>
      <c r="F92" s="21"/>
      <c r="G92" s="19"/>
      <c r="H92" s="366">
        <v>40739</v>
      </c>
      <c r="I92" s="22" t="s">
        <v>157</v>
      </c>
      <c r="J92" s="30"/>
      <c r="L92" s="203" t="s">
        <v>421</v>
      </c>
      <c r="M92" s="204">
        <v>8900</v>
      </c>
      <c r="N92" s="290">
        <v>18700</v>
      </c>
      <c r="O92" s="294">
        <f t="shared" si="6"/>
        <v>17000</v>
      </c>
      <c r="P92" s="290">
        <v>18700</v>
      </c>
      <c r="Q92" s="294">
        <f t="shared" si="7"/>
        <v>17000</v>
      </c>
      <c r="R92" s="302">
        <v>25000</v>
      </c>
    </row>
    <row r="93" spans="2:18" ht="20.100000000000001" customHeight="1" x14ac:dyDescent="0.25">
      <c r="B93" s="4">
        <f t="shared" si="5"/>
        <v>4</v>
      </c>
      <c r="C93" s="18"/>
      <c r="D93" s="19" t="s">
        <v>621</v>
      </c>
      <c r="E93" s="49"/>
      <c r="F93" s="21"/>
      <c r="G93" s="19"/>
      <c r="H93" s="366">
        <v>67000</v>
      </c>
      <c r="I93" s="22" t="s">
        <v>157</v>
      </c>
      <c r="J93" s="30"/>
      <c r="L93" s="203"/>
      <c r="M93" s="204"/>
      <c r="N93" s="290"/>
      <c r="O93" s="294"/>
      <c r="P93" s="290"/>
      <c r="Q93" s="294"/>
      <c r="R93" s="302"/>
    </row>
    <row r="94" spans="2:18" ht="20.100000000000001" customHeight="1" x14ac:dyDescent="0.25">
      <c r="B94" s="4">
        <f t="shared" si="5"/>
        <v>5</v>
      </c>
      <c r="C94" s="18"/>
      <c r="D94" s="19" t="s">
        <v>401</v>
      </c>
      <c r="E94" s="49"/>
      <c r="F94" s="21"/>
      <c r="G94" s="19"/>
      <c r="H94" s="366">
        <v>35000</v>
      </c>
      <c r="I94" s="22" t="s">
        <v>157</v>
      </c>
      <c r="J94" s="30"/>
      <c r="L94" s="203" t="s">
        <v>115</v>
      </c>
      <c r="M94" s="204">
        <v>42000</v>
      </c>
      <c r="N94" s="290">
        <v>26400</v>
      </c>
      <c r="O94" s="294">
        <f t="shared" si="6"/>
        <v>24000</v>
      </c>
      <c r="P94" s="290">
        <v>28300</v>
      </c>
      <c r="Q94" s="294">
        <f t="shared" si="7"/>
        <v>25727.272727272728</v>
      </c>
      <c r="R94" s="302">
        <v>25000</v>
      </c>
    </row>
    <row r="95" spans="2:18" ht="20.100000000000001" hidden="1" customHeight="1" x14ac:dyDescent="0.25">
      <c r="B95" s="4">
        <f t="shared" si="5"/>
        <v>6</v>
      </c>
      <c r="C95" s="18"/>
      <c r="D95" s="19" t="s">
        <v>402</v>
      </c>
      <c r="E95" s="49"/>
      <c r="F95" s="21"/>
      <c r="G95" s="19"/>
      <c r="H95" s="366">
        <v>29500</v>
      </c>
      <c r="I95" s="22" t="s">
        <v>157</v>
      </c>
      <c r="J95" s="30"/>
      <c r="L95" s="203" t="s">
        <v>422</v>
      </c>
      <c r="M95" s="204">
        <v>37000</v>
      </c>
      <c r="N95" s="290"/>
      <c r="O95" s="294">
        <f t="shared" si="6"/>
        <v>0</v>
      </c>
      <c r="P95" s="290"/>
      <c r="Q95" s="294">
        <f t="shared" si="7"/>
        <v>0</v>
      </c>
      <c r="R95" s="302"/>
    </row>
    <row r="96" spans="2:18" ht="20.100000000000001" customHeight="1" x14ac:dyDescent="0.25">
      <c r="B96" s="4">
        <f>B94+1</f>
        <v>6</v>
      </c>
      <c r="C96" s="18"/>
      <c r="D96" s="19" t="s">
        <v>288</v>
      </c>
      <c r="E96" s="49"/>
      <c r="F96" s="21"/>
      <c r="G96" s="19"/>
      <c r="H96" s="366">
        <v>79000</v>
      </c>
      <c r="I96" s="22" t="s">
        <v>157</v>
      </c>
      <c r="J96" s="30"/>
      <c r="L96" s="203" t="s">
        <v>423</v>
      </c>
      <c r="M96" s="204">
        <v>44000</v>
      </c>
      <c r="N96" s="290">
        <v>49000</v>
      </c>
      <c r="O96" s="294">
        <f t="shared" si="6"/>
        <v>44545.454545454544</v>
      </c>
      <c r="P96" s="290">
        <v>46000</v>
      </c>
      <c r="Q96" s="294">
        <f t="shared" si="7"/>
        <v>41818.181818181816</v>
      </c>
      <c r="R96" s="302">
        <v>35000</v>
      </c>
    </row>
    <row r="97" spans="2:18" ht="18.75" customHeight="1" x14ac:dyDescent="0.25">
      <c r="B97" s="4">
        <f>B95+1</f>
        <v>7</v>
      </c>
      <c r="C97" s="18"/>
      <c r="D97" s="19" t="s">
        <v>289</v>
      </c>
      <c r="E97" s="49"/>
      <c r="F97" s="21"/>
      <c r="G97" s="19"/>
      <c r="H97" s="366">
        <v>81000</v>
      </c>
      <c r="I97" s="22" t="s">
        <v>157</v>
      </c>
      <c r="J97" s="30"/>
      <c r="L97" s="203" t="s">
        <v>288</v>
      </c>
      <c r="M97" s="204">
        <v>75000</v>
      </c>
      <c r="N97" s="290">
        <v>49000</v>
      </c>
      <c r="O97" s="294">
        <f t="shared" si="6"/>
        <v>44545.454545454544</v>
      </c>
      <c r="P97" s="290">
        <v>46000</v>
      </c>
      <c r="Q97" s="294">
        <f t="shared" si="7"/>
        <v>41818.181818181816</v>
      </c>
      <c r="R97" s="302">
        <v>80000</v>
      </c>
    </row>
    <row r="98" spans="2:18" ht="20.100000000000001" hidden="1" customHeight="1" x14ac:dyDescent="0.25">
      <c r="B98" s="4">
        <f>B96+1</f>
        <v>7</v>
      </c>
      <c r="C98" s="18"/>
      <c r="D98" s="19" t="s">
        <v>290</v>
      </c>
      <c r="E98" s="49"/>
      <c r="F98" s="21"/>
      <c r="G98" s="19"/>
      <c r="H98" s="366">
        <f>Q99</f>
        <v>0</v>
      </c>
      <c r="I98" s="22" t="s">
        <v>157</v>
      </c>
      <c r="J98" s="30"/>
      <c r="L98" s="203" t="s">
        <v>289</v>
      </c>
      <c r="M98" s="204">
        <v>75000</v>
      </c>
      <c r="N98" s="290"/>
      <c r="O98" s="294">
        <f t="shared" si="6"/>
        <v>0</v>
      </c>
      <c r="P98" s="290"/>
      <c r="Q98" s="294">
        <f t="shared" si="7"/>
        <v>0</v>
      </c>
      <c r="R98" s="302"/>
    </row>
    <row r="99" spans="2:18" ht="20.100000000000001" hidden="1" customHeight="1" x14ac:dyDescent="0.25">
      <c r="B99" s="4">
        <f>B97+1</f>
        <v>8</v>
      </c>
      <c r="C99" s="18"/>
      <c r="D99" s="19" t="s">
        <v>116</v>
      </c>
      <c r="E99" s="49"/>
      <c r="F99" s="21"/>
      <c r="G99" s="19"/>
      <c r="H99" s="366">
        <v>24000</v>
      </c>
      <c r="I99" s="22" t="s">
        <v>157</v>
      </c>
      <c r="J99" s="30"/>
      <c r="L99" s="203" t="s">
        <v>290</v>
      </c>
      <c r="M99" s="204">
        <v>2700</v>
      </c>
      <c r="N99" s="290"/>
      <c r="O99" s="294">
        <f t="shared" si="6"/>
        <v>0</v>
      </c>
      <c r="P99" s="290"/>
      <c r="Q99" s="294">
        <f t="shared" si="7"/>
        <v>0</v>
      </c>
      <c r="R99" s="302"/>
    </row>
    <row r="100" spans="2:18" ht="20.100000000000001" customHeight="1" x14ac:dyDescent="0.25">
      <c r="B100" s="4">
        <f>B97+1</f>
        <v>8</v>
      </c>
      <c r="C100" s="18"/>
      <c r="D100" s="19" t="s">
        <v>177</v>
      </c>
      <c r="E100" s="49"/>
      <c r="F100" s="21"/>
      <c r="G100" s="19"/>
      <c r="H100" s="366">
        <v>37000</v>
      </c>
      <c r="I100" s="22" t="s">
        <v>161</v>
      </c>
      <c r="J100" s="30"/>
      <c r="L100" s="203" t="s">
        <v>424</v>
      </c>
      <c r="M100" s="204">
        <v>30000</v>
      </c>
      <c r="N100" s="290">
        <v>37500</v>
      </c>
      <c r="O100" s="294">
        <f t="shared" si="6"/>
        <v>34090.909090909088</v>
      </c>
      <c r="P100" s="290">
        <v>21500</v>
      </c>
      <c r="Q100" s="294">
        <f t="shared" si="7"/>
        <v>19545.454545454544</v>
      </c>
      <c r="R100" s="302">
        <v>50000</v>
      </c>
    </row>
    <row r="101" spans="2:18" ht="20.100000000000001" customHeight="1" x14ac:dyDescent="0.25">
      <c r="B101" s="4">
        <f>B100+1</f>
        <v>9</v>
      </c>
      <c r="C101" s="18"/>
      <c r="D101" s="19" t="s">
        <v>112</v>
      </c>
      <c r="E101" s="49"/>
      <c r="F101" s="21"/>
      <c r="G101" s="19"/>
      <c r="H101" s="366">
        <v>30000</v>
      </c>
      <c r="I101" s="22" t="s">
        <v>173</v>
      </c>
      <c r="J101" s="30"/>
      <c r="L101" s="203" t="s">
        <v>177</v>
      </c>
      <c r="M101" s="204">
        <v>17800</v>
      </c>
      <c r="N101" s="290">
        <v>18150</v>
      </c>
      <c r="O101" s="294">
        <f t="shared" si="6"/>
        <v>16500</v>
      </c>
      <c r="P101" s="290">
        <v>19000</v>
      </c>
      <c r="Q101" s="294">
        <f t="shared" si="7"/>
        <v>17272.727272727272</v>
      </c>
      <c r="R101" s="302">
        <v>27000</v>
      </c>
    </row>
    <row r="102" spans="2:18" ht="20.100000000000001" customHeight="1" x14ac:dyDescent="0.25">
      <c r="B102" s="4">
        <f>B101+1</f>
        <v>10</v>
      </c>
      <c r="C102" s="346"/>
      <c r="D102" s="352" t="s">
        <v>440</v>
      </c>
      <c r="E102" s="353"/>
      <c r="F102" s="354"/>
      <c r="G102" s="352"/>
      <c r="H102" s="371">
        <v>20000</v>
      </c>
      <c r="I102" s="355" t="s">
        <v>157</v>
      </c>
      <c r="J102" s="30"/>
      <c r="L102" s="203"/>
      <c r="M102" s="204"/>
      <c r="N102" s="290"/>
      <c r="O102" s="294"/>
      <c r="P102" s="290"/>
      <c r="Q102" s="294"/>
      <c r="R102" s="302"/>
    </row>
    <row r="103" spans="2:18" ht="20.100000000000001" customHeight="1" x14ac:dyDescent="0.25">
      <c r="B103" s="4">
        <f>B102+1</f>
        <v>11</v>
      </c>
      <c r="C103" s="18"/>
      <c r="D103" s="19" t="s">
        <v>178</v>
      </c>
      <c r="E103" s="49"/>
      <c r="F103" s="21"/>
      <c r="G103" s="19"/>
      <c r="H103" s="135">
        <v>4000</v>
      </c>
      <c r="I103" s="22" t="s">
        <v>179</v>
      </c>
      <c r="J103" s="30"/>
      <c r="L103" s="203" t="s">
        <v>112</v>
      </c>
      <c r="M103" s="204">
        <v>24750</v>
      </c>
      <c r="N103" s="290">
        <v>15000</v>
      </c>
      <c r="O103" s="294">
        <f t="shared" si="6"/>
        <v>13636.363636363636</v>
      </c>
      <c r="P103" s="290">
        <v>15000</v>
      </c>
      <c r="Q103" s="294">
        <f t="shared" si="7"/>
        <v>13636.363636363636</v>
      </c>
      <c r="R103" s="302">
        <v>12000</v>
      </c>
    </row>
    <row r="104" spans="2:18" ht="20.100000000000001" customHeight="1" x14ac:dyDescent="0.25">
      <c r="B104" s="4">
        <f>B103+1</f>
        <v>12</v>
      </c>
      <c r="C104" s="347"/>
      <c r="D104" s="348" t="s">
        <v>440</v>
      </c>
      <c r="E104" s="23"/>
      <c r="F104" s="349"/>
      <c r="G104" s="348"/>
      <c r="H104" s="350">
        <f>M105</f>
        <v>22000</v>
      </c>
      <c r="I104" s="351" t="s">
        <v>157</v>
      </c>
      <c r="J104" s="30"/>
      <c r="L104" s="203" t="s">
        <v>178</v>
      </c>
      <c r="M104" s="205">
        <v>3960</v>
      </c>
      <c r="N104" s="290"/>
      <c r="P104" s="290"/>
      <c r="Q104" s="294">
        <f t="shared" ref="Q104:Q145" si="8">P104*10%</f>
        <v>0</v>
      </c>
      <c r="R104" s="302"/>
    </row>
    <row r="105" spans="2:18" ht="20.100000000000001" customHeight="1" x14ac:dyDescent="0.25">
      <c r="B105" s="26"/>
      <c r="C105" s="18"/>
      <c r="D105" s="27" t="s">
        <v>180</v>
      </c>
      <c r="E105" s="49"/>
      <c r="F105" s="27"/>
      <c r="G105" s="27"/>
      <c r="H105" s="28"/>
      <c r="I105" s="29"/>
      <c r="J105" s="30"/>
      <c r="L105" s="203" t="s">
        <v>287</v>
      </c>
      <c r="M105" s="205">
        <v>22000</v>
      </c>
      <c r="N105" s="290"/>
      <c r="P105" s="290"/>
      <c r="Q105" s="294">
        <f t="shared" si="8"/>
        <v>0</v>
      </c>
      <c r="R105" s="302"/>
    </row>
    <row r="106" spans="2:18" ht="20.100000000000001" customHeight="1" x14ac:dyDescent="0.25">
      <c r="B106" s="4">
        <f>B104+1</f>
        <v>13</v>
      </c>
      <c r="C106" s="18"/>
      <c r="D106" s="19" t="s">
        <v>319</v>
      </c>
      <c r="E106" s="49"/>
      <c r="F106" s="21"/>
      <c r="G106" s="19"/>
      <c r="H106" s="135">
        <v>25000</v>
      </c>
      <c r="I106" s="22" t="s">
        <v>306</v>
      </c>
      <c r="J106" s="30"/>
      <c r="L106" s="203" t="s">
        <v>318</v>
      </c>
      <c r="M106" s="204">
        <v>44000</v>
      </c>
      <c r="N106" s="290"/>
      <c r="P106" s="290"/>
      <c r="Q106" s="294">
        <f t="shared" si="8"/>
        <v>0</v>
      </c>
      <c r="R106" s="302"/>
    </row>
    <row r="107" spans="2:18" ht="20.100000000000001" customHeight="1" x14ac:dyDescent="0.25">
      <c r="B107" s="4">
        <f>B106+1</f>
        <v>14</v>
      </c>
      <c r="C107" s="18"/>
      <c r="D107" s="19" t="s">
        <v>878</v>
      </c>
      <c r="E107" s="49"/>
      <c r="F107" s="21"/>
      <c r="G107" s="19"/>
      <c r="H107" s="135">
        <v>65000</v>
      </c>
      <c r="I107" s="22" t="s">
        <v>306</v>
      </c>
      <c r="J107" s="30"/>
      <c r="L107" s="203" t="s">
        <v>319</v>
      </c>
      <c r="M107" s="204">
        <v>35200</v>
      </c>
      <c r="N107" s="290"/>
      <c r="P107" s="290"/>
      <c r="Q107" s="294">
        <f t="shared" si="8"/>
        <v>0</v>
      </c>
      <c r="R107" s="302"/>
    </row>
    <row r="108" spans="2:18" ht="20.100000000000001" customHeight="1" x14ac:dyDescent="0.25">
      <c r="B108" s="4">
        <f>B107+1</f>
        <v>15</v>
      </c>
      <c r="C108" s="18"/>
      <c r="D108" s="19" t="s">
        <v>292</v>
      </c>
      <c r="E108" s="49"/>
      <c r="F108" s="21"/>
      <c r="G108" s="19"/>
      <c r="H108" s="135">
        <v>65000</v>
      </c>
      <c r="I108" s="22" t="s">
        <v>307</v>
      </c>
      <c r="J108" s="30"/>
      <c r="L108" s="203" t="s">
        <v>291</v>
      </c>
      <c r="M108" s="204">
        <v>49500</v>
      </c>
      <c r="N108" s="290"/>
      <c r="P108" s="290"/>
      <c r="Q108" s="294">
        <f t="shared" si="8"/>
        <v>0</v>
      </c>
      <c r="R108" s="302"/>
    </row>
    <row r="109" spans="2:18" ht="20.100000000000001" customHeight="1" x14ac:dyDescent="0.25">
      <c r="B109" s="4">
        <f>B108+1</f>
        <v>16</v>
      </c>
      <c r="C109" s="18"/>
      <c r="D109" s="19" t="s">
        <v>294</v>
      </c>
      <c r="E109" s="49"/>
      <c r="F109" s="21"/>
      <c r="G109" s="19"/>
      <c r="H109" s="135">
        <v>35000</v>
      </c>
      <c r="I109" s="22" t="s">
        <v>308</v>
      </c>
      <c r="J109" s="30"/>
      <c r="L109" s="203" t="s">
        <v>293</v>
      </c>
      <c r="M109" s="204">
        <v>42350</v>
      </c>
      <c r="N109" s="290"/>
      <c r="P109" s="290"/>
      <c r="Q109" s="294">
        <f t="shared" si="8"/>
        <v>0</v>
      </c>
      <c r="R109" s="302"/>
    </row>
    <row r="110" spans="2:18" ht="20.100000000000001" hidden="1" customHeight="1" x14ac:dyDescent="0.25">
      <c r="B110" s="4" t="e">
        <f>#REF!+1</f>
        <v>#REF!</v>
      </c>
      <c r="C110" s="18"/>
      <c r="D110" s="19" t="s">
        <v>295</v>
      </c>
      <c r="E110" s="49"/>
      <c r="F110" s="21"/>
      <c r="G110" s="19"/>
      <c r="H110" s="135"/>
      <c r="I110" s="22" t="s">
        <v>308</v>
      </c>
      <c r="J110" s="30"/>
      <c r="L110" s="203" t="s">
        <v>294</v>
      </c>
      <c r="M110" s="204">
        <v>49500</v>
      </c>
      <c r="N110" s="290"/>
      <c r="P110" s="290"/>
      <c r="Q110" s="294">
        <f t="shared" si="8"/>
        <v>0</v>
      </c>
      <c r="R110" s="302"/>
    </row>
    <row r="111" spans="2:18" ht="20.100000000000001" hidden="1" customHeight="1" x14ac:dyDescent="0.25">
      <c r="B111" s="4">
        <f>B108+1</f>
        <v>16</v>
      </c>
      <c r="C111" s="18"/>
      <c r="D111" s="19" t="s">
        <v>296</v>
      </c>
      <c r="E111" s="49"/>
      <c r="F111" s="21"/>
      <c r="G111" s="19"/>
      <c r="H111" s="135"/>
      <c r="I111" s="22" t="s">
        <v>308</v>
      </c>
      <c r="J111" s="30"/>
      <c r="L111" s="203" t="s">
        <v>295</v>
      </c>
      <c r="M111" s="204">
        <v>77000</v>
      </c>
      <c r="N111" s="290"/>
      <c r="P111" s="290"/>
      <c r="Q111" s="294">
        <f t="shared" si="8"/>
        <v>0</v>
      </c>
      <c r="R111" s="302"/>
    </row>
    <row r="112" spans="2:18" ht="20.100000000000001" hidden="1" customHeight="1" x14ac:dyDescent="0.25">
      <c r="B112" s="4" t="e">
        <f>#REF!+1</f>
        <v>#REF!</v>
      </c>
      <c r="C112" s="18"/>
      <c r="D112" s="19" t="s">
        <v>297</v>
      </c>
      <c r="E112" s="49"/>
      <c r="F112" s="21"/>
      <c r="G112" s="19"/>
      <c r="H112" s="135"/>
      <c r="I112" s="22" t="s">
        <v>307</v>
      </c>
      <c r="J112" s="30"/>
      <c r="L112" s="203" t="s">
        <v>296</v>
      </c>
      <c r="M112" s="204">
        <v>104000</v>
      </c>
      <c r="N112" s="290"/>
      <c r="P112" s="290"/>
      <c r="Q112" s="294">
        <f t="shared" si="8"/>
        <v>0</v>
      </c>
      <c r="R112" s="302"/>
    </row>
    <row r="113" spans="2:18" ht="20.100000000000001" hidden="1" customHeight="1" x14ac:dyDescent="0.25">
      <c r="B113" s="4" t="e">
        <f>#REF!+1</f>
        <v>#REF!</v>
      </c>
      <c r="C113" s="18"/>
      <c r="D113" s="19" t="s">
        <v>298</v>
      </c>
      <c r="E113" s="49"/>
      <c r="F113" s="21"/>
      <c r="G113" s="19"/>
      <c r="H113" s="135"/>
      <c r="I113" s="22" t="s">
        <v>307</v>
      </c>
      <c r="J113" s="30"/>
      <c r="L113" s="203" t="s">
        <v>297</v>
      </c>
      <c r="M113" s="204">
        <v>49500</v>
      </c>
      <c r="N113" s="290"/>
      <c r="P113" s="290"/>
      <c r="Q113" s="294">
        <f t="shared" si="8"/>
        <v>0</v>
      </c>
      <c r="R113" s="302"/>
    </row>
    <row r="114" spans="2:18" ht="20.100000000000001" hidden="1" customHeight="1" x14ac:dyDescent="0.25">
      <c r="B114" s="4">
        <f t="shared" ref="B114:B122" si="9">B109+1</f>
        <v>17</v>
      </c>
      <c r="C114" s="18"/>
      <c r="D114" s="19" t="s">
        <v>299</v>
      </c>
      <c r="E114" s="49"/>
      <c r="F114" s="21"/>
      <c r="G114" s="19"/>
      <c r="H114" s="135"/>
      <c r="I114" s="22" t="s">
        <v>307</v>
      </c>
      <c r="J114" s="30"/>
      <c r="L114" s="203" t="s">
        <v>298</v>
      </c>
      <c r="M114" s="204">
        <v>60500</v>
      </c>
      <c r="N114" s="290"/>
      <c r="P114" s="290"/>
      <c r="Q114" s="294">
        <f t="shared" si="8"/>
        <v>0</v>
      </c>
      <c r="R114" s="302"/>
    </row>
    <row r="115" spans="2:18" ht="20.100000000000001" hidden="1" customHeight="1" x14ac:dyDescent="0.25">
      <c r="B115" s="4" t="e">
        <f t="shared" si="9"/>
        <v>#REF!</v>
      </c>
      <c r="C115" s="18"/>
      <c r="D115" s="19" t="s">
        <v>300</v>
      </c>
      <c r="E115" s="49"/>
      <c r="F115" s="21"/>
      <c r="G115" s="19"/>
      <c r="H115" s="135"/>
      <c r="I115" s="22" t="s">
        <v>307</v>
      </c>
      <c r="J115" s="30"/>
      <c r="L115" s="203" t="s">
        <v>299</v>
      </c>
      <c r="M115" s="204">
        <v>66000</v>
      </c>
      <c r="N115" s="290"/>
      <c r="P115" s="290"/>
      <c r="Q115" s="294">
        <f t="shared" si="8"/>
        <v>0</v>
      </c>
      <c r="R115" s="302"/>
    </row>
    <row r="116" spans="2:18" ht="20.100000000000001" hidden="1" customHeight="1" x14ac:dyDescent="0.25">
      <c r="B116" s="4">
        <f t="shared" si="9"/>
        <v>17</v>
      </c>
      <c r="C116" s="18"/>
      <c r="D116" s="19" t="s">
        <v>181</v>
      </c>
      <c r="E116" s="49"/>
      <c r="F116" s="21"/>
      <c r="G116" s="19"/>
      <c r="H116" s="135"/>
      <c r="I116" s="22" t="s">
        <v>173</v>
      </c>
      <c r="J116" s="30"/>
      <c r="L116" s="203" t="s">
        <v>300</v>
      </c>
      <c r="M116" s="204">
        <v>71500</v>
      </c>
      <c r="N116" s="290"/>
      <c r="P116" s="290"/>
      <c r="Q116" s="294">
        <f t="shared" si="8"/>
        <v>0</v>
      </c>
      <c r="R116" s="302"/>
    </row>
    <row r="117" spans="2:18" ht="20.100000000000001" hidden="1" customHeight="1" x14ac:dyDescent="0.25">
      <c r="B117" s="4" t="e">
        <f t="shared" si="9"/>
        <v>#REF!</v>
      </c>
      <c r="C117" s="18"/>
      <c r="D117" s="19" t="s">
        <v>182</v>
      </c>
      <c r="E117" s="49"/>
      <c r="F117" s="21"/>
      <c r="G117" s="19"/>
      <c r="H117" s="135"/>
      <c r="I117" s="22" t="s">
        <v>173</v>
      </c>
      <c r="J117" s="30"/>
      <c r="L117" s="203" t="s">
        <v>181</v>
      </c>
      <c r="M117" s="204">
        <v>18500</v>
      </c>
      <c r="N117" s="290"/>
      <c r="P117" s="290"/>
      <c r="Q117" s="294">
        <f t="shared" si="8"/>
        <v>0</v>
      </c>
      <c r="R117" s="302"/>
    </row>
    <row r="118" spans="2:18" ht="20.100000000000001" hidden="1" customHeight="1" x14ac:dyDescent="0.25">
      <c r="B118" s="4" t="e">
        <f t="shared" si="9"/>
        <v>#REF!</v>
      </c>
      <c r="C118" s="18"/>
      <c r="D118" s="19" t="s">
        <v>284</v>
      </c>
      <c r="E118" s="49"/>
      <c r="F118" s="21"/>
      <c r="G118" s="19"/>
      <c r="H118" s="135"/>
      <c r="I118" s="22" t="s">
        <v>173</v>
      </c>
      <c r="J118" s="30"/>
      <c r="L118" s="203" t="s">
        <v>182</v>
      </c>
      <c r="M118" s="204">
        <v>14300</v>
      </c>
      <c r="N118" s="290"/>
      <c r="P118" s="290"/>
      <c r="Q118" s="294">
        <f t="shared" si="8"/>
        <v>0</v>
      </c>
      <c r="R118" s="302"/>
    </row>
    <row r="119" spans="2:18" ht="20.100000000000001" hidden="1" customHeight="1" x14ac:dyDescent="0.25">
      <c r="B119" s="4">
        <f t="shared" si="9"/>
        <v>18</v>
      </c>
      <c r="C119" s="18"/>
      <c r="D119" s="19" t="s">
        <v>183</v>
      </c>
      <c r="E119" s="49"/>
      <c r="F119" s="19"/>
      <c r="G119" s="209"/>
      <c r="H119" s="135"/>
      <c r="I119" s="22" t="s">
        <v>173</v>
      </c>
      <c r="J119" s="30"/>
      <c r="L119" s="203" t="s">
        <v>284</v>
      </c>
      <c r="M119" s="204">
        <v>18700</v>
      </c>
      <c r="N119" s="290"/>
      <c r="P119" s="290"/>
      <c r="Q119" s="294">
        <f t="shared" si="8"/>
        <v>0</v>
      </c>
      <c r="R119" s="302"/>
    </row>
    <row r="120" spans="2:18" ht="20.100000000000001" hidden="1" customHeight="1" x14ac:dyDescent="0.25">
      <c r="B120" s="4" t="e">
        <f t="shared" si="9"/>
        <v>#REF!</v>
      </c>
      <c r="C120" s="18"/>
      <c r="D120" s="19" t="s">
        <v>301</v>
      </c>
      <c r="E120" s="49"/>
      <c r="F120" s="19"/>
      <c r="G120" s="209"/>
      <c r="H120" s="135"/>
      <c r="I120" s="29" t="s">
        <v>305</v>
      </c>
      <c r="J120" s="30"/>
      <c r="L120" s="203" t="s">
        <v>183</v>
      </c>
      <c r="M120" s="204">
        <v>22000</v>
      </c>
      <c r="N120" s="290"/>
      <c r="P120" s="290"/>
      <c r="Q120" s="294">
        <f t="shared" si="8"/>
        <v>0</v>
      </c>
      <c r="R120" s="302"/>
    </row>
    <row r="121" spans="2:18" ht="20.100000000000001" hidden="1" customHeight="1" x14ac:dyDescent="0.25">
      <c r="B121" s="4">
        <f t="shared" si="9"/>
        <v>18</v>
      </c>
      <c r="C121" s="18"/>
      <c r="D121" s="19" t="s">
        <v>302</v>
      </c>
      <c r="E121" s="49"/>
      <c r="F121" s="19"/>
      <c r="G121" s="209"/>
      <c r="H121" s="135"/>
      <c r="I121" s="29" t="s">
        <v>305</v>
      </c>
      <c r="J121" s="30"/>
      <c r="L121" s="203" t="s">
        <v>301</v>
      </c>
      <c r="M121" s="204">
        <v>3300</v>
      </c>
      <c r="N121" s="290"/>
      <c r="P121" s="290"/>
      <c r="Q121" s="294">
        <f t="shared" si="8"/>
        <v>0</v>
      </c>
      <c r="R121" s="302"/>
    </row>
    <row r="122" spans="2:18" ht="20.100000000000001" hidden="1" customHeight="1" x14ac:dyDescent="0.25">
      <c r="B122" s="4" t="e">
        <f t="shared" si="9"/>
        <v>#REF!</v>
      </c>
      <c r="C122" s="18"/>
      <c r="D122" s="19" t="s">
        <v>303</v>
      </c>
      <c r="E122" s="49"/>
      <c r="F122" s="19"/>
      <c r="G122" s="209"/>
      <c r="H122" s="135"/>
      <c r="I122" s="29" t="s">
        <v>305</v>
      </c>
      <c r="J122" s="30"/>
      <c r="L122" s="203" t="s">
        <v>302</v>
      </c>
      <c r="M122" s="204">
        <v>7150</v>
      </c>
      <c r="N122" s="290"/>
      <c r="P122" s="290"/>
      <c r="Q122" s="294">
        <f t="shared" si="8"/>
        <v>0</v>
      </c>
      <c r="R122" s="302"/>
    </row>
    <row r="123" spans="2:18" ht="20.100000000000001" customHeight="1" x14ac:dyDescent="0.25">
      <c r="B123" s="4">
        <f>B109+1</f>
        <v>17</v>
      </c>
      <c r="C123" s="18"/>
      <c r="D123" s="19" t="s">
        <v>877</v>
      </c>
      <c r="E123" s="49"/>
      <c r="F123" s="19"/>
      <c r="G123" s="209"/>
      <c r="H123" s="135">
        <f>880000/50</f>
        <v>17600</v>
      </c>
      <c r="I123" s="29" t="s">
        <v>305</v>
      </c>
      <c r="J123" s="30"/>
      <c r="L123" s="203" t="s">
        <v>303</v>
      </c>
      <c r="M123" s="204">
        <v>6050</v>
      </c>
      <c r="N123" s="290"/>
      <c r="P123" s="290"/>
      <c r="Q123" s="294">
        <f t="shared" si="8"/>
        <v>0</v>
      </c>
      <c r="R123" s="302"/>
    </row>
    <row r="124" spans="2:18" ht="20.100000000000001" customHeight="1" x14ac:dyDescent="0.25">
      <c r="B124" s="4">
        <f>B123+1</f>
        <v>18</v>
      </c>
      <c r="C124" s="18"/>
      <c r="D124" s="19" t="s">
        <v>865</v>
      </c>
      <c r="E124" s="49"/>
      <c r="F124" s="19"/>
      <c r="G124" s="209"/>
      <c r="H124" s="28">
        <v>1500</v>
      </c>
      <c r="I124" s="22" t="s">
        <v>305</v>
      </c>
      <c r="J124" s="30"/>
      <c r="L124" s="203"/>
      <c r="M124" s="204"/>
      <c r="N124" s="290"/>
      <c r="P124" s="290"/>
      <c r="Q124" s="294"/>
      <c r="R124" s="302"/>
    </row>
    <row r="125" spans="2:18" ht="20.100000000000001" customHeight="1" x14ac:dyDescent="0.25">
      <c r="B125" s="4">
        <f t="shared" ref="B125:B144" si="10">B124+1</f>
        <v>19</v>
      </c>
      <c r="C125" s="18"/>
      <c r="D125" s="19" t="s">
        <v>866</v>
      </c>
      <c r="E125" s="49"/>
      <c r="F125" s="19"/>
      <c r="G125" s="209"/>
      <c r="H125" s="28">
        <v>65000</v>
      </c>
      <c r="I125" s="22" t="s">
        <v>874</v>
      </c>
      <c r="J125" s="30"/>
      <c r="L125" s="203"/>
      <c r="M125" s="204"/>
      <c r="N125" s="290"/>
      <c r="P125" s="290"/>
      <c r="Q125" s="294"/>
      <c r="R125" s="302"/>
    </row>
    <row r="126" spans="2:18" ht="20.100000000000001" customHeight="1" x14ac:dyDescent="0.25">
      <c r="B126" s="4">
        <f t="shared" si="10"/>
        <v>20</v>
      </c>
      <c r="C126" s="18"/>
      <c r="D126" s="19" t="s">
        <v>876</v>
      </c>
      <c r="E126" s="49"/>
      <c r="F126" s="19"/>
      <c r="G126" s="209"/>
      <c r="H126" s="28">
        <v>50000</v>
      </c>
      <c r="I126" s="22" t="s">
        <v>874</v>
      </c>
      <c r="J126" s="30"/>
      <c r="L126" s="203"/>
      <c r="M126" s="204"/>
      <c r="N126" s="290"/>
      <c r="P126" s="290"/>
      <c r="Q126" s="294"/>
      <c r="R126" s="302"/>
    </row>
    <row r="127" spans="2:18" ht="20.100000000000001" hidden="1" customHeight="1" x14ac:dyDescent="0.25">
      <c r="B127" s="4">
        <f t="shared" si="10"/>
        <v>21</v>
      </c>
      <c r="C127" s="18"/>
      <c r="D127" s="27" t="s">
        <v>184</v>
      </c>
      <c r="E127" s="49"/>
      <c r="F127" s="27"/>
      <c r="G127" s="209"/>
      <c r="H127" s="28"/>
      <c r="I127" s="22"/>
      <c r="J127" s="30"/>
      <c r="L127" s="203" t="s">
        <v>304</v>
      </c>
      <c r="M127" s="204">
        <v>12100</v>
      </c>
      <c r="N127" s="290"/>
      <c r="P127" s="290"/>
      <c r="Q127" s="294">
        <f t="shared" si="8"/>
        <v>0</v>
      </c>
      <c r="R127" s="302"/>
    </row>
    <row r="128" spans="2:18" ht="20.100000000000001" hidden="1" customHeight="1" x14ac:dyDescent="0.25">
      <c r="B128" s="4">
        <f t="shared" si="10"/>
        <v>22</v>
      </c>
      <c r="C128" s="18"/>
      <c r="D128" s="19" t="s">
        <v>185</v>
      </c>
      <c r="E128" s="49"/>
      <c r="F128" s="21"/>
      <c r="G128" s="19"/>
      <c r="H128" s="135"/>
      <c r="I128" s="22" t="s">
        <v>173</v>
      </c>
      <c r="J128" s="30"/>
      <c r="L128" s="773" t="s">
        <v>184</v>
      </c>
      <c r="M128" s="204"/>
      <c r="N128" s="290"/>
      <c r="P128" s="290"/>
      <c r="Q128" s="294">
        <f t="shared" si="8"/>
        <v>0</v>
      </c>
      <c r="R128" s="302"/>
    </row>
    <row r="129" spans="2:18" ht="20.100000000000001" hidden="1" customHeight="1" x14ac:dyDescent="0.25">
      <c r="B129" s="4">
        <f t="shared" si="10"/>
        <v>23</v>
      </c>
      <c r="C129" s="18"/>
      <c r="D129" s="19" t="s">
        <v>110</v>
      </c>
      <c r="E129" s="49"/>
      <c r="F129" s="21"/>
      <c r="G129" s="19"/>
      <c r="H129" s="135"/>
      <c r="I129" s="22" t="s">
        <v>173</v>
      </c>
      <c r="J129" s="30"/>
      <c r="L129" s="203" t="s">
        <v>425</v>
      </c>
      <c r="M129" s="204">
        <v>198000</v>
      </c>
      <c r="N129" s="290"/>
      <c r="P129" s="290"/>
      <c r="Q129" s="294">
        <f t="shared" si="8"/>
        <v>0</v>
      </c>
      <c r="R129" s="302"/>
    </row>
    <row r="130" spans="2:18" ht="20.100000000000001" hidden="1" customHeight="1" x14ac:dyDescent="0.25">
      <c r="B130" s="4">
        <f t="shared" si="10"/>
        <v>24</v>
      </c>
      <c r="C130" s="18"/>
      <c r="D130" s="19" t="s">
        <v>220</v>
      </c>
      <c r="E130" s="49"/>
      <c r="F130" s="21"/>
      <c r="G130" s="19"/>
      <c r="H130" s="135"/>
      <c r="I130" s="22" t="s">
        <v>173</v>
      </c>
      <c r="J130" s="30"/>
      <c r="L130" s="203" t="s">
        <v>426</v>
      </c>
      <c r="M130" s="204">
        <v>73260</v>
      </c>
      <c r="N130" s="290"/>
      <c r="P130" s="290"/>
      <c r="Q130" s="294">
        <f t="shared" si="8"/>
        <v>0</v>
      </c>
      <c r="R130" s="302"/>
    </row>
    <row r="131" spans="2:18" ht="20.100000000000001" hidden="1" customHeight="1" x14ac:dyDescent="0.25">
      <c r="B131" s="4">
        <f t="shared" si="10"/>
        <v>25</v>
      </c>
      <c r="C131" s="18"/>
      <c r="D131" s="19" t="s">
        <v>186</v>
      </c>
      <c r="E131" s="49"/>
      <c r="F131" s="21"/>
      <c r="G131" s="19"/>
      <c r="H131" s="135"/>
      <c r="I131" s="22" t="s">
        <v>187</v>
      </c>
      <c r="J131" s="30"/>
      <c r="L131" s="203" t="s">
        <v>220</v>
      </c>
      <c r="M131" s="205">
        <v>69500</v>
      </c>
      <c r="N131" s="290"/>
      <c r="P131" s="290"/>
      <c r="Q131" s="294">
        <f t="shared" si="8"/>
        <v>0</v>
      </c>
      <c r="R131" s="302"/>
    </row>
    <row r="132" spans="2:18" ht="20.100000000000001" hidden="1" customHeight="1" x14ac:dyDescent="0.25">
      <c r="B132" s="4">
        <f t="shared" si="10"/>
        <v>26</v>
      </c>
      <c r="C132" s="18"/>
      <c r="D132" s="19" t="s">
        <v>188</v>
      </c>
      <c r="E132" s="49"/>
      <c r="F132" s="21"/>
      <c r="G132" s="19"/>
      <c r="H132" s="135"/>
      <c r="I132" s="22" t="s">
        <v>187</v>
      </c>
      <c r="J132" s="30"/>
      <c r="L132" s="203" t="s">
        <v>427</v>
      </c>
      <c r="M132" s="204">
        <v>16500</v>
      </c>
      <c r="N132" s="290"/>
      <c r="P132" s="290"/>
      <c r="Q132" s="294">
        <f t="shared" si="8"/>
        <v>0</v>
      </c>
      <c r="R132" s="302"/>
    </row>
    <row r="133" spans="2:18" ht="20.100000000000001" hidden="1" customHeight="1" x14ac:dyDescent="0.25">
      <c r="B133" s="4">
        <f t="shared" si="10"/>
        <v>27</v>
      </c>
      <c r="C133" s="18"/>
      <c r="D133" s="19" t="s">
        <v>189</v>
      </c>
      <c r="E133" s="49"/>
      <c r="F133" s="21"/>
      <c r="G133" s="19"/>
      <c r="H133" s="135"/>
      <c r="I133" s="22" t="s">
        <v>173</v>
      </c>
      <c r="J133" s="30"/>
      <c r="L133" s="203" t="s">
        <v>428</v>
      </c>
      <c r="M133" s="204">
        <v>12500</v>
      </c>
      <c r="N133" s="290"/>
      <c r="P133" s="290"/>
      <c r="Q133" s="294">
        <f t="shared" si="8"/>
        <v>0</v>
      </c>
      <c r="R133" s="302"/>
    </row>
    <row r="134" spans="2:18" ht="20.100000000000001" hidden="1" customHeight="1" x14ac:dyDescent="0.25">
      <c r="B134" s="4">
        <f t="shared" si="10"/>
        <v>28</v>
      </c>
      <c r="C134" s="18"/>
      <c r="D134" s="19" t="s">
        <v>190</v>
      </c>
      <c r="E134" s="49"/>
      <c r="F134" s="21"/>
      <c r="G134" s="19"/>
      <c r="H134" s="135"/>
      <c r="I134" s="22" t="s">
        <v>187</v>
      </c>
      <c r="J134" s="30"/>
      <c r="L134" s="203" t="s">
        <v>189</v>
      </c>
      <c r="M134" s="204">
        <v>24200</v>
      </c>
      <c r="N134" s="290"/>
      <c r="P134" s="290"/>
      <c r="Q134" s="294">
        <f t="shared" si="8"/>
        <v>0</v>
      </c>
      <c r="R134" s="302"/>
    </row>
    <row r="135" spans="2:18" ht="20.100000000000001" hidden="1" customHeight="1" x14ac:dyDescent="0.25">
      <c r="B135" s="4">
        <f t="shared" si="10"/>
        <v>29</v>
      </c>
      <c r="C135" s="18"/>
      <c r="D135" s="19" t="s">
        <v>191</v>
      </c>
      <c r="E135" s="49"/>
      <c r="F135" s="21"/>
      <c r="G135" s="19"/>
      <c r="H135" s="135"/>
      <c r="I135" s="22" t="s">
        <v>173</v>
      </c>
      <c r="J135" s="30"/>
      <c r="L135" s="203" t="s">
        <v>190</v>
      </c>
      <c r="M135" s="205">
        <v>7700</v>
      </c>
      <c r="N135" s="290"/>
      <c r="P135" s="290"/>
      <c r="Q135" s="294">
        <f t="shared" si="8"/>
        <v>0</v>
      </c>
      <c r="R135" s="302"/>
    </row>
    <row r="136" spans="2:18" ht="20.100000000000001" hidden="1" customHeight="1" x14ac:dyDescent="0.25">
      <c r="B136" s="4">
        <f t="shared" si="10"/>
        <v>30</v>
      </c>
      <c r="C136" s="18"/>
      <c r="D136" s="19" t="s">
        <v>283</v>
      </c>
      <c r="E136" s="49"/>
      <c r="F136" s="21"/>
      <c r="G136" s="19"/>
      <c r="H136" s="135"/>
      <c r="I136" s="22" t="s">
        <v>173</v>
      </c>
      <c r="J136" s="30"/>
      <c r="L136" s="203" t="s">
        <v>191</v>
      </c>
      <c r="M136" s="204">
        <v>9900</v>
      </c>
      <c r="N136" s="290"/>
      <c r="P136" s="290"/>
      <c r="Q136" s="294">
        <f t="shared" si="8"/>
        <v>0</v>
      </c>
      <c r="R136" s="302"/>
    </row>
    <row r="137" spans="2:18" ht="20.100000000000001" hidden="1" customHeight="1" x14ac:dyDescent="0.25">
      <c r="B137" s="4">
        <f t="shared" si="10"/>
        <v>31</v>
      </c>
      <c r="C137" s="18"/>
      <c r="D137" s="19" t="s">
        <v>221</v>
      </c>
      <c r="E137" s="49"/>
      <c r="F137" s="21"/>
      <c r="G137" s="19"/>
      <c r="H137" s="135"/>
      <c r="I137" s="22" t="s">
        <v>322</v>
      </c>
      <c r="J137" s="30"/>
      <c r="L137" s="203" t="s">
        <v>283</v>
      </c>
      <c r="M137" s="205">
        <f>50000+(50000*5/100)</f>
        <v>52500</v>
      </c>
      <c r="N137" s="290"/>
      <c r="P137" s="290"/>
      <c r="Q137" s="294">
        <f t="shared" si="8"/>
        <v>0</v>
      </c>
      <c r="R137" s="302"/>
    </row>
    <row r="138" spans="2:18" ht="20.100000000000001" hidden="1" customHeight="1" x14ac:dyDescent="0.25">
      <c r="B138" s="4">
        <f t="shared" si="10"/>
        <v>32</v>
      </c>
      <c r="C138" s="18"/>
      <c r="D138" s="19" t="s">
        <v>192</v>
      </c>
      <c r="E138" s="49"/>
      <c r="F138" s="21"/>
      <c r="G138" s="19"/>
      <c r="H138" s="135"/>
      <c r="I138" s="22" t="s">
        <v>322</v>
      </c>
      <c r="J138" s="30"/>
      <c r="L138" s="203" t="s">
        <v>221</v>
      </c>
      <c r="M138" s="205">
        <v>102910</v>
      </c>
      <c r="N138" s="290"/>
      <c r="P138" s="290"/>
      <c r="Q138" s="294">
        <f t="shared" si="8"/>
        <v>0</v>
      </c>
      <c r="R138" s="302"/>
    </row>
    <row r="139" spans="2:18" ht="20.100000000000001" hidden="1" customHeight="1" x14ac:dyDescent="0.25">
      <c r="B139" s="4">
        <f t="shared" si="10"/>
        <v>33</v>
      </c>
      <c r="C139" s="18"/>
      <c r="D139" s="19" t="s">
        <v>193</v>
      </c>
      <c r="E139" s="49"/>
      <c r="F139" s="21"/>
      <c r="G139" s="19"/>
      <c r="H139" s="135"/>
      <c r="I139" s="22" t="s">
        <v>322</v>
      </c>
      <c r="J139" s="30"/>
      <c r="L139" s="203" t="s">
        <v>192</v>
      </c>
      <c r="M139" s="205">
        <v>122150</v>
      </c>
      <c r="N139" s="290"/>
      <c r="P139" s="290"/>
      <c r="Q139" s="294">
        <f t="shared" si="8"/>
        <v>0</v>
      </c>
      <c r="R139" s="302"/>
    </row>
    <row r="140" spans="2:18" ht="20.100000000000001" hidden="1" customHeight="1" x14ac:dyDescent="0.25">
      <c r="B140" s="4">
        <f t="shared" si="10"/>
        <v>34</v>
      </c>
      <c r="C140" s="18"/>
      <c r="D140" s="19" t="s">
        <v>222</v>
      </c>
      <c r="E140" s="49"/>
      <c r="F140" s="21"/>
      <c r="G140" s="19"/>
      <c r="H140" s="135"/>
      <c r="I140" s="22" t="s">
        <v>229</v>
      </c>
      <c r="J140" s="30"/>
      <c r="L140" s="203" t="s">
        <v>193</v>
      </c>
      <c r="M140" s="205">
        <v>125000</v>
      </c>
      <c r="N140" s="290"/>
      <c r="P140" s="290"/>
      <c r="Q140" s="294">
        <f t="shared" si="8"/>
        <v>0</v>
      </c>
      <c r="R140" s="302"/>
    </row>
    <row r="141" spans="2:18" ht="20.100000000000001" hidden="1" customHeight="1" x14ac:dyDescent="0.25">
      <c r="B141" s="4">
        <f t="shared" si="10"/>
        <v>35</v>
      </c>
      <c r="C141" s="18"/>
      <c r="D141" s="19" t="s">
        <v>223</v>
      </c>
      <c r="E141" s="49"/>
      <c r="F141" s="21"/>
      <c r="G141" s="19"/>
      <c r="H141" s="135"/>
      <c r="I141" s="22" t="s">
        <v>229</v>
      </c>
      <c r="J141" s="30"/>
      <c r="L141" s="203" t="s">
        <v>222</v>
      </c>
      <c r="M141" s="205">
        <f>75000+(75000*5/100)</f>
        <v>78750</v>
      </c>
      <c r="N141" s="290"/>
      <c r="P141" s="290"/>
      <c r="Q141" s="294">
        <f t="shared" si="8"/>
        <v>0</v>
      </c>
      <c r="R141" s="302"/>
    </row>
    <row r="142" spans="2:18" ht="20.100000000000001" hidden="1" customHeight="1" x14ac:dyDescent="0.25">
      <c r="B142" s="4">
        <f t="shared" si="10"/>
        <v>36</v>
      </c>
      <c r="C142" s="18"/>
      <c r="D142" s="19" t="s">
        <v>194</v>
      </c>
      <c r="E142" s="49"/>
      <c r="F142" s="21"/>
      <c r="G142" s="19"/>
      <c r="H142" s="135"/>
      <c r="I142" s="22" t="s">
        <v>173</v>
      </c>
      <c r="J142" s="30"/>
      <c r="L142" s="203" t="s">
        <v>223</v>
      </c>
      <c r="M142" s="205">
        <v>105000</v>
      </c>
      <c r="N142" s="290"/>
      <c r="P142" s="290"/>
      <c r="Q142" s="294">
        <f t="shared" si="8"/>
        <v>0</v>
      </c>
      <c r="R142" s="302"/>
    </row>
    <row r="143" spans="2:18" ht="20.100000000000001" hidden="1" customHeight="1" x14ac:dyDescent="0.25">
      <c r="B143" s="4">
        <f t="shared" si="10"/>
        <v>37</v>
      </c>
      <c r="C143" s="18"/>
      <c r="D143" s="27" t="s">
        <v>195</v>
      </c>
      <c r="E143" s="49"/>
      <c r="F143" s="27"/>
      <c r="G143" s="27"/>
      <c r="H143" s="28"/>
      <c r="I143" s="29"/>
      <c r="J143" s="30"/>
      <c r="L143" s="203" t="s">
        <v>194</v>
      </c>
      <c r="M143" s="205">
        <v>25000</v>
      </c>
      <c r="N143" s="290"/>
      <c r="P143" s="290"/>
      <c r="Q143" s="294">
        <f t="shared" si="8"/>
        <v>0</v>
      </c>
      <c r="R143" s="302"/>
    </row>
    <row r="144" spans="2:18" ht="20.100000000000001" hidden="1" customHeight="1" x14ac:dyDescent="0.25">
      <c r="B144" s="4">
        <f t="shared" si="10"/>
        <v>38</v>
      </c>
      <c r="C144" s="18"/>
      <c r="D144" s="19" t="s">
        <v>113</v>
      </c>
      <c r="E144" s="49"/>
      <c r="F144" s="21"/>
      <c r="G144" s="19"/>
      <c r="H144" s="135"/>
      <c r="I144" s="22" t="s">
        <v>173</v>
      </c>
      <c r="J144" s="30"/>
      <c r="L144" s="773" t="s">
        <v>195</v>
      </c>
      <c r="M144" s="204"/>
      <c r="N144" s="290"/>
      <c r="P144" s="290"/>
      <c r="Q144" s="294">
        <f t="shared" si="8"/>
        <v>0</v>
      </c>
      <c r="R144" s="302"/>
    </row>
    <row r="145" spans="2:18" ht="20.100000000000001" customHeight="1" x14ac:dyDescent="0.25">
      <c r="B145" s="4">
        <f>B126+1</f>
        <v>21</v>
      </c>
      <c r="C145" s="18"/>
      <c r="D145" s="19" t="s">
        <v>901</v>
      </c>
      <c r="E145" s="49"/>
      <c r="F145" s="21"/>
      <c r="G145" s="19"/>
      <c r="H145" s="135">
        <v>23250</v>
      </c>
      <c r="I145" s="22" t="s">
        <v>173</v>
      </c>
      <c r="J145" s="30"/>
      <c r="L145" s="203" t="s">
        <v>113</v>
      </c>
      <c r="M145" s="204">
        <v>43500</v>
      </c>
      <c r="N145" s="290"/>
      <c r="P145" s="290"/>
      <c r="Q145" s="294">
        <f t="shared" si="8"/>
        <v>0</v>
      </c>
      <c r="R145" s="302"/>
    </row>
    <row r="146" spans="2:18" ht="20.100000000000001" customHeight="1" x14ac:dyDescent="0.25">
      <c r="B146" s="4">
        <f t="shared" ref="B146:B156" si="11">B127+1</f>
        <v>22</v>
      </c>
      <c r="C146" s="18"/>
      <c r="D146" s="19" t="s">
        <v>897</v>
      </c>
      <c r="E146" s="49"/>
      <c r="F146" s="21"/>
      <c r="G146" s="19"/>
      <c r="H146" s="135">
        <v>280000</v>
      </c>
      <c r="I146" s="22" t="s">
        <v>173</v>
      </c>
      <c r="J146" s="30"/>
      <c r="L146" s="203" t="s">
        <v>196</v>
      </c>
      <c r="M146" s="204">
        <v>16500</v>
      </c>
      <c r="N146" s="290"/>
      <c r="P146" s="290"/>
      <c r="Q146" s="294">
        <f t="shared" ref="Q146:Q169" si="12">P146*10%</f>
        <v>0</v>
      </c>
      <c r="R146" s="302"/>
    </row>
    <row r="147" spans="2:18" ht="20.100000000000001" hidden="1" customHeight="1" x14ac:dyDescent="0.25">
      <c r="B147" s="4">
        <f t="shared" si="11"/>
        <v>23</v>
      </c>
      <c r="C147" s="18"/>
      <c r="D147" s="19" t="s">
        <v>197</v>
      </c>
      <c r="E147" s="49"/>
      <c r="F147" s="21"/>
      <c r="G147" s="19"/>
      <c r="H147" s="135"/>
      <c r="I147" s="22" t="s">
        <v>173</v>
      </c>
      <c r="J147" s="30"/>
      <c r="L147" s="203" t="s">
        <v>429</v>
      </c>
      <c r="M147" s="204">
        <v>480000</v>
      </c>
      <c r="N147" s="290"/>
      <c r="P147" s="290"/>
      <c r="Q147" s="294">
        <f t="shared" si="12"/>
        <v>0</v>
      </c>
      <c r="R147" s="302"/>
    </row>
    <row r="148" spans="2:18" ht="20.100000000000001" hidden="1" customHeight="1" x14ac:dyDescent="0.25">
      <c r="B148" s="4">
        <f t="shared" si="11"/>
        <v>24</v>
      </c>
      <c r="C148" s="18"/>
      <c r="D148" s="19" t="s">
        <v>198</v>
      </c>
      <c r="E148" s="49"/>
      <c r="F148" s="21"/>
      <c r="G148" s="19"/>
      <c r="H148" s="135"/>
      <c r="I148" s="22" t="s">
        <v>173</v>
      </c>
      <c r="J148" s="30"/>
      <c r="L148" s="203" t="s">
        <v>197</v>
      </c>
      <c r="M148" s="204">
        <v>170000</v>
      </c>
      <c r="N148" s="290"/>
      <c r="P148" s="290"/>
      <c r="Q148" s="294">
        <f t="shared" si="12"/>
        <v>0</v>
      </c>
      <c r="R148" s="302"/>
    </row>
    <row r="149" spans="2:18" ht="20.100000000000001" hidden="1" customHeight="1" x14ac:dyDescent="0.25">
      <c r="B149" s="4">
        <f t="shared" si="11"/>
        <v>25</v>
      </c>
      <c r="C149" s="18"/>
      <c r="D149" s="19" t="s">
        <v>320</v>
      </c>
      <c r="E149" s="49"/>
      <c r="F149" s="21"/>
      <c r="G149" s="19"/>
      <c r="H149" s="135"/>
      <c r="I149" s="22" t="s">
        <v>173</v>
      </c>
      <c r="J149" s="30"/>
      <c r="L149" s="203" t="s">
        <v>198</v>
      </c>
      <c r="M149" s="204">
        <v>34000</v>
      </c>
      <c r="N149" s="290"/>
      <c r="P149" s="290"/>
      <c r="Q149" s="294">
        <f t="shared" si="12"/>
        <v>0</v>
      </c>
      <c r="R149" s="302"/>
    </row>
    <row r="150" spans="2:18" ht="20.100000000000001" hidden="1" customHeight="1" x14ac:dyDescent="0.25">
      <c r="B150" s="4">
        <f t="shared" si="11"/>
        <v>26</v>
      </c>
      <c r="C150" s="18"/>
      <c r="D150" s="19" t="s">
        <v>199</v>
      </c>
      <c r="E150" s="49"/>
      <c r="F150" s="21"/>
      <c r="G150" s="19"/>
      <c r="H150" s="135"/>
      <c r="I150" s="22" t="s">
        <v>200</v>
      </c>
      <c r="J150" s="30"/>
      <c r="L150" s="203" t="s">
        <v>320</v>
      </c>
      <c r="M150" s="204">
        <v>14000</v>
      </c>
      <c r="N150" s="290"/>
      <c r="P150" s="290"/>
      <c r="Q150" s="294">
        <f t="shared" si="12"/>
        <v>0</v>
      </c>
      <c r="R150" s="302"/>
    </row>
    <row r="151" spans="2:18" ht="20.100000000000001" hidden="1" customHeight="1" x14ac:dyDescent="0.25">
      <c r="B151" s="4">
        <f t="shared" si="11"/>
        <v>27</v>
      </c>
      <c r="C151" s="18"/>
      <c r="D151" s="19" t="s">
        <v>201</v>
      </c>
      <c r="E151" s="49"/>
      <c r="F151" s="21"/>
      <c r="G151" s="19"/>
      <c r="H151" s="135"/>
      <c r="I151" s="25" t="s">
        <v>171</v>
      </c>
      <c r="J151" s="30"/>
      <c r="L151" s="203" t="s">
        <v>199</v>
      </c>
      <c r="M151" s="204">
        <v>820000</v>
      </c>
      <c r="N151" s="290"/>
      <c r="P151" s="290"/>
      <c r="Q151" s="294">
        <f t="shared" si="12"/>
        <v>0</v>
      </c>
      <c r="R151" s="302"/>
    </row>
    <row r="152" spans="2:18" ht="20.100000000000001" hidden="1" customHeight="1" x14ac:dyDescent="0.25">
      <c r="B152" s="4">
        <f t="shared" si="11"/>
        <v>28</v>
      </c>
      <c r="C152" s="18"/>
      <c r="D152" s="19" t="s">
        <v>202</v>
      </c>
      <c r="E152" s="49"/>
      <c r="F152" s="21"/>
      <c r="G152" s="19"/>
      <c r="H152" s="135"/>
      <c r="I152" s="25" t="s">
        <v>171</v>
      </c>
      <c r="J152" s="202"/>
      <c r="L152" s="203" t="s">
        <v>430</v>
      </c>
      <c r="M152" s="204">
        <v>4900</v>
      </c>
      <c r="N152" s="290"/>
      <c r="P152" s="290"/>
      <c r="Q152" s="294">
        <f t="shared" si="12"/>
        <v>0</v>
      </c>
      <c r="R152" s="302"/>
    </row>
    <row r="153" spans="2:18" ht="20.100000000000001" hidden="1" customHeight="1" x14ac:dyDescent="0.25">
      <c r="B153" s="4">
        <f t="shared" si="11"/>
        <v>29</v>
      </c>
      <c r="C153" s="18"/>
      <c r="D153" s="19" t="s">
        <v>431</v>
      </c>
      <c r="E153" s="49"/>
      <c r="F153" s="21"/>
      <c r="G153" s="19"/>
      <c r="H153" s="135">
        <f>47900/4</f>
        <v>11975</v>
      </c>
      <c r="I153" s="25" t="s">
        <v>171</v>
      </c>
      <c r="J153" s="202"/>
      <c r="L153" s="203" t="s">
        <v>202</v>
      </c>
      <c r="M153" s="204">
        <v>8750</v>
      </c>
      <c r="N153" s="290"/>
      <c r="P153" s="290"/>
      <c r="Q153" s="294">
        <f t="shared" si="12"/>
        <v>0</v>
      </c>
      <c r="R153" s="302"/>
    </row>
    <row r="154" spans="2:18" ht="20.100000000000001" hidden="1" customHeight="1" x14ac:dyDescent="0.25">
      <c r="B154" s="4">
        <f t="shared" si="11"/>
        <v>30</v>
      </c>
      <c r="C154" s="18"/>
      <c r="D154" s="19" t="s">
        <v>203</v>
      </c>
      <c r="E154" s="49"/>
      <c r="F154" s="21"/>
      <c r="G154" s="19"/>
      <c r="H154" s="135"/>
      <c r="I154" s="25" t="s">
        <v>171</v>
      </c>
      <c r="J154" s="202"/>
      <c r="L154" s="203" t="s">
        <v>431</v>
      </c>
      <c r="M154" s="204">
        <v>11000</v>
      </c>
      <c r="N154" s="290"/>
      <c r="P154" s="290"/>
      <c r="Q154" s="294">
        <f t="shared" si="12"/>
        <v>0</v>
      </c>
      <c r="R154" s="302"/>
    </row>
    <row r="155" spans="2:18" ht="20.100000000000001" hidden="1" customHeight="1" x14ac:dyDescent="0.25">
      <c r="B155" s="4">
        <f t="shared" si="11"/>
        <v>31</v>
      </c>
      <c r="C155" s="18"/>
      <c r="D155" s="19" t="s">
        <v>204</v>
      </c>
      <c r="E155" s="49"/>
      <c r="F155" s="21"/>
      <c r="G155" s="19"/>
      <c r="H155" s="135"/>
      <c r="I155" s="25" t="s">
        <v>171</v>
      </c>
      <c r="J155" s="202"/>
      <c r="L155" s="203" t="s">
        <v>203</v>
      </c>
      <c r="M155" s="204">
        <v>14000</v>
      </c>
      <c r="N155" s="290"/>
      <c r="P155" s="290"/>
      <c r="Q155" s="294">
        <f t="shared" si="12"/>
        <v>0</v>
      </c>
      <c r="R155" s="302"/>
    </row>
    <row r="156" spans="2:18" ht="20.100000000000001" hidden="1" customHeight="1" x14ac:dyDescent="0.25">
      <c r="B156" s="4">
        <f t="shared" si="11"/>
        <v>32</v>
      </c>
      <c r="C156" s="18"/>
      <c r="D156" s="19" t="s">
        <v>205</v>
      </c>
      <c r="E156" s="49"/>
      <c r="F156" s="21"/>
      <c r="G156" s="19"/>
      <c r="H156" s="135"/>
      <c r="I156" s="25" t="s">
        <v>171</v>
      </c>
      <c r="J156" s="202"/>
      <c r="L156" s="203" t="s">
        <v>204</v>
      </c>
      <c r="M156" s="204">
        <v>18000</v>
      </c>
      <c r="N156" s="290"/>
      <c r="P156" s="290"/>
      <c r="Q156" s="294">
        <f t="shared" si="12"/>
        <v>0</v>
      </c>
      <c r="R156" s="302"/>
    </row>
    <row r="157" spans="2:18" ht="20.100000000000001" customHeight="1" x14ac:dyDescent="0.25">
      <c r="B157" s="4">
        <f>B146+1</f>
        <v>23</v>
      </c>
      <c r="C157" s="18"/>
      <c r="D157" s="19" t="s">
        <v>206</v>
      </c>
      <c r="E157" s="49"/>
      <c r="F157" s="21"/>
      <c r="G157" s="19"/>
      <c r="H157" s="135">
        <f>177000/4</f>
        <v>44250</v>
      </c>
      <c r="I157" s="25" t="s">
        <v>171</v>
      </c>
      <c r="J157" s="202"/>
      <c r="L157" s="203" t="s">
        <v>205</v>
      </c>
      <c r="M157" s="204">
        <v>20000</v>
      </c>
      <c r="N157" s="290"/>
      <c r="P157" s="290"/>
      <c r="Q157" s="294">
        <f t="shared" si="12"/>
        <v>0</v>
      </c>
      <c r="R157" s="302"/>
    </row>
    <row r="158" spans="2:18" ht="20.100000000000001" customHeight="1" x14ac:dyDescent="0.25">
      <c r="B158" s="4">
        <f>B147+1</f>
        <v>24</v>
      </c>
      <c r="C158" s="18"/>
      <c r="D158" s="19" t="s">
        <v>207</v>
      </c>
      <c r="E158" s="49"/>
      <c r="F158" s="21"/>
      <c r="G158" s="19"/>
      <c r="H158" s="135">
        <v>60000</v>
      </c>
      <c r="I158" s="25" t="s">
        <v>171</v>
      </c>
      <c r="J158" s="202"/>
      <c r="L158" s="203" t="s">
        <v>206</v>
      </c>
      <c r="M158" s="204">
        <v>25000</v>
      </c>
      <c r="N158" s="290"/>
      <c r="P158" s="290"/>
      <c r="Q158" s="294">
        <f t="shared" si="12"/>
        <v>0</v>
      </c>
      <c r="R158" s="302"/>
    </row>
    <row r="159" spans="2:18" ht="20.100000000000001" customHeight="1" x14ac:dyDescent="0.25">
      <c r="B159" s="4">
        <f>B148+1</f>
        <v>25</v>
      </c>
      <c r="C159" s="18"/>
      <c r="D159" s="19" t="s">
        <v>208</v>
      </c>
      <c r="E159" s="49"/>
      <c r="F159" s="21"/>
      <c r="G159" s="19"/>
      <c r="H159" s="135">
        <v>3500</v>
      </c>
      <c r="I159" s="22" t="s">
        <v>173</v>
      </c>
      <c r="J159" s="30"/>
      <c r="L159" s="203" t="s">
        <v>207</v>
      </c>
      <c r="M159" s="204">
        <v>30000</v>
      </c>
      <c r="N159" s="290"/>
      <c r="P159" s="290"/>
      <c r="Q159" s="294">
        <f t="shared" si="12"/>
        <v>0</v>
      </c>
      <c r="R159" s="302"/>
    </row>
    <row r="160" spans="2:18" ht="20.100000000000001" customHeight="1" x14ac:dyDescent="0.25">
      <c r="B160" s="4"/>
      <c r="C160" s="18"/>
      <c r="D160" s="27" t="s">
        <v>314</v>
      </c>
      <c r="E160" s="49"/>
      <c r="F160" s="27"/>
      <c r="G160" s="27"/>
      <c r="H160" s="28"/>
      <c r="I160" s="29"/>
      <c r="J160" s="30"/>
      <c r="L160" s="203" t="s">
        <v>208</v>
      </c>
      <c r="M160" s="204">
        <v>5000</v>
      </c>
      <c r="N160" s="290"/>
      <c r="P160" s="290"/>
      <c r="Q160" s="294">
        <f t="shared" si="12"/>
        <v>0</v>
      </c>
      <c r="R160" s="302"/>
    </row>
    <row r="161" spans="2:18" ht="20.100000000000001" customHeight="1" x14ac:dyDescent="0.25">
      <c r="B161" s="4">
        <f>B159+1</f>
        <v>26</v>
      </c>
      <c r="C161" s="18"/>
      <c r="D161" s="19" t="s">
        <v>403</v>
      </c>
      <c r="E161" s="49"/>
      <c r="F161" s="21"/>
      <c r="G161" s="19"/>
      <c r="H161" s="135">
        <v>27500</v>
      </c>
      <c r="I161" s="25" t="s">
        <v>323</v>
      </c>
      <c r="J161" s="202"/>
      <c r="L161" s="203" t="s">
        <v>224</v>
      </c>
      <c r="M161" s="204">
        <v>11000</v>
      </c>
      <c r="N161" s="290"/>
      <c r="P161" s="290"/>
      <c r="Q161" s="294">
        <f t="shared" si="12"/>
        <v>0</v>
      </c>
      <c r="R161" s="302"/>
    </row>
    <row r="162" spans="2:18" ht="20.100000000000001" customHeight="1" x14ac:dyDescent="0.25">
      <c r="B162" s="4">
        <f t="shared" ref="B162:B168" si="13">B161+1</f>
        <v>27</v>
      </c>
      <c r="C162" s="18"/>
      <c r="D162" s="19" t="s">
        <v>225</v>
      </c>
      <c r="E162" s="49"/>
      <c r="F162" s="21"/>
      <c r="G162" s="19"/>
      <c r="H162" s="135">
        <f>H161</f>
        <v>27500</v>
      </c>
      <c r="I162" s="25" t="s">
        <v>323</v>
      </c>
      <c r="J162" s="202"/>
      <c r="L162" s="203" t="s">
        <v>432</v>
      </c>
      <c r="M162" s="204">
        <f>120000+(120000*5/100)</f>
        <v>126000</v>
      </c>
      <c r="N162" s="290"/>
      <c r="P162" s="290"/>
      <c r="Q162" s="294">
        <f t="shared" si="12"/>
        <v>0</v>
      </c>
      <c r="R162" s="302"/>
    </row>
    <row r="163" spans="2:18" ht="20.100000000000001" customHeight="1" x14ac:dyDescent="0.25">
      <c r="B163" s="4">
        <f t="shared" si="13"/>
        <v>28</v>
      </c>
      <c r="C163" s="18"/>
      <c r="D163" s="19" t="s">
        <v>226</v>
      </c>
      <c r="E163" s="49"/>
      <c r="F163" s="21"/>
      <c r="G163" s="19"/>
      <c r="H163" s="135">
        <f>H161</f>
        <v>27500</v>
      </c>
      <c r="I163" s="25" t="s">
        <v>173</v>
      </c>
      <c r="J163" s="202"/>
      <c r="L163" s="203" t="s">
        <v>225</v>
      </c>
      <c r="M163" s="204">
        <f>135000+(135000*5/100)</f>
        <v>141750</v>
      </c>
      <c r="N163" s="290"/>
      <c r="P163" s="290"/>
      <c r="Q163" s="294">
        <f t="shared" si="12"/>
        <v>0</v>
      </c>
      <c r="R163" s="302"/>
    </row>
    <row r="164" spans="2:18" ht="20.100000000000001" customHeight="1" x14ac:dyDescent="0.25">
      <c r="B164" s="4">
        <f t="shared" si="13"/>
        <v>29</v>
      </c>
      <c r="C164" s="18"/>
      <c r="D164" s="19" t="s">
        <v>227</v>
      </c>
      <c r="E164" s="49"/>
      <c r="F164" s="21"/>
      <c r="G164" s="19"/>
      <c r="H164" s="135">
        <v>500</v>
      </c>
      <c r="I164" s="25" t="s">
        <v>173</v>
      </c>
      <c r="J164" s="202"/>
      <c r="L164" s="203" t="s">
        <v>226</v>
      </c>
      <c r="M164" s="204">
        <f>98000+(98000*5/100)</f>
        <v>102900</v>
      </c>
      <c r="N164" s="290"/>
      <c r="P164" s="290"/>
      <c r="Q164" s="294">
        <f t="shared" si="12"/>
        <v>0</v>
      </c>
      <c r="R164" s="302"/>
    </row>
    <row r="165" spans="2:18" ht="20.100000000000001" customHeight="1" x14ac:dyDescent="0.25">
      <c r="B165" s="4">
        <f t="shared" si="13"/>
        <v>30</v>
      </c>
      <c r="C165" s="18"/>
      <c r="D165" s="19" t="s">
        <v>224</v>
      </c>
      <c r="E165" s="49"/>
      <c r="F165" s="21"/>
      <c r="G165" s="19"/>
      <c r="H165" s="135">
        <v>49000</v>
      </c>
      <c r="I165" s="22" t="s">
        <v>883</v>
      </c>
      <c r="J165" s="202"/>
      <c r="L165" s="203"/>
      <c r="M165" s="204"/>
      <c r="N165" s="290"/>
      <c r="P165" s="290"/>
      <c r="Q165" s="294"/>
      <c r="R165" s="302"/>
    </row>
    <row r="166" spans="2:18" ht="20.100000000000001" customHeight="1" x14ac:dyDescent="0.25">
      <c r="B166" s="4">
        <f t="shared" si="13"/>
        <v>31</v>
      </c>
      <c r="C166" s="18"/>
      <c r="D166" s="19" t="s">
        <v>228</v>
      </c>
      <c r="E166" s="49"/>
      <c r="F166" s="21"/>
      <c r="G166" s="19"/>
      <c r="H166" s="135">
        <v>25000</v>
      </c>
      <c r="I166" s="25" t="s">
        <v>323</v>
      </c>
      <c r="J166" s="202"/>
      <c r="L166" s="203" t="s">
        <v>227</v>
      </c>
      <c r="M166" s="204">
        <v>3000</v>
      </c>
      <c r="N166" s="290"/>
      <c r="P166" s="290"/>
      <c r="Q166" s="294">
        <f t="shared" si="12"/>
        <v>0</v>
      </c>
      <c r="R166" s="302"/>
    </row>
    <row r="167" spans="2:18" ht="20.100000000000001" customHeight="1" x14ac:dyDescent="0.25">
      <c r="B167" s="4">
        <f t="shared" si="13"/>
        <v>32</v>
      </c>
      <c r="C167" s="18"/>
      <c r="D167" s="19" t="s">
        <v>313</v>
      </c>
      <c r="E167" s="49"/>
      <c r="F167" s="21"/>
      <c r="G167" s="19"/>
      <c r="H167" s="135">
        <v>1090000</v>
      </c>
      <c r="I167" s="22" t="s">
        <v>322</v>
      </c>
      <c r="J167" s="30"/>
      <c r="L167" s="203" t="s">
        <v>228</v>
      </c>
      <c r="M167" s="204">
        <v>25000</v>
      </c>
      <c r="N167" s="290"/>
      <c r="P167" s="290"/>
      <c r="Q167" s="294">
        <f t="shared" si="12"/>
        <v>0</v>
      </c>
      <c r="R167" s="302"/>
    </row>
    <row r="168" spans="2:18" ht="20.100000000000001" customHeight="1" x14ac:dyDescent="0.25">
      <c r="B168" s="4">
        <f t="shared" si="13"/>
        <v>33</v>
      </c>
      <c r="C168" s="18"/>
      <c r="D168" s="19" t="s">
        <v>315</v>
      </c>
      <c r="E168" s="49"/>
      <c r="F168" s="21"/>
      <c r="G168" s="19"/>
      <c r="H168" s="135">
        <v>380000</v>
      </c>
      <c r="I168" s="22" t="s">
        <v>322</v>
      </c>
      <c r="J168" s="30"/>
      <c r="L168" s="203" t="s">
        <v>313</v>
      </c>
      <c r="M168" s="204">
        <v>1090000</v>
      </c>
      <c r="N168" s="290"/>
      <c r="P168" s="290"/>
      <c r="Q168" s="294">
        <f t="shared" si="12"/>
        <v>0</v>
      </c>
      <c r="R168" s="302"/>
    </row>
    <row r="169" spans="2:18" ht="20.100000000000001" customHeight="1" thickBot="1" x14ac:dyDescent="0.3">
      <c r="B169" s="766"/>
      <c r="C169" s="51"/>
      <c r="D169" s="51"/>
      <c r="E169" s="767"/>
      <c r="F169" s="768"/>
      <c r="G169" s="767"/>
      <c r="H169" s="769"/>
      <c r="I169" s="770"/>
      <c r="J169" s="33"/>
      <c r="L169" s="203" t="s">
        <v>315</v>
      </c>
      <c r="M169" s="204">
        <v>380000</v>
      </c>
      <c r="N169" s="290"/>
      <c r="P169" s="290"/>
      <c r="Q169" s="294">
        <f t="shared" si="12"/>
        <v>0</v>
      </c>
      <c r="R169" s="302"/>
    </row>
    <row r="170" spans="2:18" ht="20.100000000000001" customHeight="1" x14ac:dyDescent="0.25">
      <c r="B170" s="30"/>
      <c r="C170" s="30"/>
      <c r="D170" s="30"/>
      <c r="E170" s="20"/>
      <c r="F170" s="20"/>
      <c r="G170" s="20"/>
      <c r="H170" s="20"/>
      <c r="I170" s="33"/>
      <c r="J170" s="33"/>
      <c r="N170" s="290"/>
      <c r="P170" s="290"/>
      <c r="R170" s="302"/>
    </row>
    <row r="171" spans="2:18" ht="20.100000000000001" customHeight="1" x14ac:dyDescent="0.25">
      <c r="B171" s="30"/>
      <c r="C171" s="30"/>
      <c r="D171" s="30"/>
      <c r="E171" s="31"/>
      <c r="F171" s="31"/>
      <c r="G171" s="31"/>
      <c r="H171" s="32"/>
      <c r="I171" s="33"/>
      <c r="J171" s="33"/>
      <c r="N171" s="204"/>
      <c r="R171" s="302"/>
    </row>
    <row r="172" spans="2:18" ht="20.100000000000001" customHeight="1" x14ac:dyDescent="0.25">
      <c r="B172" s="30"/>
      <c r="C172" s="30"/>
      <c r="D172" s="30"/>
      <c r="E172" s="31"/>
      <c r="F172" s="31"/>
      <c r="G172" s="31"/>
      <c r="H172" s="32"/>
      <c r="I172" s="33"/>
      <c r="J172" s="33"/>
      <c r="N172" s="204"/>
      <c r="R172" s="302"/>
    </row>
    <row r="173" spans="2:18" ht="20.100000000000001" customHeight="1" x14ac:dyDescent="0.25">
      <c r="B173" s="30"/>
      <c r="C173" s="30"/>
      <c r="D173" s="30"/>
      <c r="E173" s="31"/>
      <c r="F173" s="31"/>
      <c r="G173" s="31"/>
      <c r="H173" s="32"/>
      <c r="I173" s="33"/>
      <c r="J173" s="33"/>
      <c r="N173" s="204"/>
      <c r="R173" s="302"/>
    </row>
    <row r="174" spans="2:18" ht="20.100000000000001" customHeight="1" x14ac:dyDescent="0.25">
      <c r="B174" s="30"/>
      <c r="C174" s="30"/>
      <c r="D174" s="30"/>
      <c r="E174" s="31"/>
      <c r="F174" s="31"/>
      <c r="G174" s="31"/>
      <c r="H174" s="32"/>
      <c r="I174" s="33"/>
      <c r="J174" s="778"/>
      <c r="N174" s="204"/>
      <c r="R174" s="302"/>
    </row>
    <row r="175" spans="2:18" ht="20.100000000000001" customHeight="1" x14ac:dyDescent="0.3">
      <c r="B175" s="43"/>
      <c r="C175" s="43"/>
      <c r="D175" s="43"/>
      <c r="E175" s="44"/>
      <c r="F175" s="44"/>
      <c r="G175" s="1573"/>
      <c r="H175" s="1573"/>
      <c r="I175" s="1573"/>
      <c r="J175" s="778"/>
      <c r="N175" s="204"/>
      <c r="R175" s="302"/>
    </row>
    <row r="176" spans="2:18" ht="20.100000000000001" customHeight="1" x14ac:dyDescent="0.3">
      <c r="B176" s="43"/>
      <c r="C176" s="43"/>
      <c r="D176" s="43"/>
      <c r="E176" s="778"/>
      <c r="F176" s="39"/>
      <c r="G176" s="1573"/>
      <c r="H176" s="1573"/>
      <c r="I176" s="1573"/>
      <c r="J176" s="779"/>
      <c r="L176" s="20"/>
      <c r="M176" s="20"/>
      <c r="N176" s="204"/>
      <c r="R176" s="302"/>
    </row>
    <row r="177" spans="2:18" s="20" customFormat="1" ht="20.100000000000001" customHeight="1" x14ac:dyDescent="0.3">
      <c r="B177" s="43"/>
      <c r="C177" s="43"/>
      <c r="D177" s="43"/>
      <c r="E177" s="779"/>
      <c r="F177" s="39"/>
      <c r="G177" s="1576"/>
      <c r="H177" s="1576"/>
      <c r="I177" s="1576"/>
      <c r="J177" s="779"/>
      <c r="R177" s="303"/>
    </row>
    <row r="178" spans="2:18" s="20" customFormat="1" ht="20.100000000000001" customHeight="1" x14ac:dyDescent="0.3">
      <c r="B178" s="43"/>
      <c r="C178" s="43"/>
      <c r="D178" s="43"/>
      <c r="E178" s="779"/>
      <c r="F178" s="41"/>
      <c r="G178" s="1576"/>
      <c r="H178" s="1576"/>
      <c r="I178" s="1576"/>
      <c r="J178" s="195"/>
    </row>
    <row r="179" spans="2:18" s="20" customFormat="1" ht="20.100000000000001" customHeight="1" x14ac:dyDescent="0.3">
      <c r="B179" s="43"/>
      <c r="C179" s="43"/>
      <c r="D179" s="43"/>
      <c r="E179" s="778"/>
      <c r="F179" s="41"/>
      <c r="G179" s="195"/>
      <c r="H179" s="778"/>
      <c r="I179" s="195"/>
      <c r="J179" s="45"/>
    </row>
    <row r="180" spans="2:18" s="20" customFormat="1" ht="20.100000000000001" customHeight="1" x14ac:dyDescent="0.3">
      <c r="B180" s="43"/>
      <c r="C180" s="43"/>
      <c r="D180" s="43"/>
      <c r="E180" s="778"/>
      <c r="F180" s="41"/>
      <c r="G180" s="45"/>
      <c r="H180" s="778"/>
      <c r="I180" s="45"/>
      <c r="J180" s="40"/>
    </row>
    <row r="181" spans="2:18" s="20" customFormat="1" ht="20.100000000000001" customHeight="1" x14ac:dyDescent="0.3">
      <c r="B181" s="43"/>
      <c r="C181" s="43"/>
      <c r="D181" s="43"/>
      <c r="E181" s="778"/>
      <c r="F181" s="41"/>
      <c r="G181" s="41"/>
      <c r="H181" s="778"/>
      <c r="I181" s="40"/>
      <c r="J181" s="40"/>
    </row>
    <row r="182" spans="2:18" s="20" customFormat="1" ht="20.100000000000001" customHeight="1" x14ac:dyDescent="0.3">
      <c r="B182" s="43"/>
      <c r="C182" s="43"/>
      <c r="D182" s="43"/>
      <c r="E182" s="778"/>
      <c r="F182" s="41"/>
      <c r="G182" s="41"/>
      <c r="H182" s="778"/>
      <c r="I182" s="40"/>
      <c r="J182" s="40"/>
    </row>
    <row r="183" spans="2:18" s="20" customFormat="1" ht="20.100000000000001" customHeight="1" x14ac:dyDescent="0.3">
      <c r="B183" s="43"/>
      <c r="C183" s="43"/>
      <c r="D183" s="43"/>
      <c r="E183" s="778"/>
      <c r="F183" s="41"/>
      <c r="G183" s="41"/>
      <c r="H183" s="778"/>
      <c r="I183" s="40"/>
      <c r="J183" s="780"/>
    </row>
    <row r="184" spans="2:18" s="20" customFormat="1" ht="20.100000000000001" customHeight="1" x14ac:dyDescent="0.3">
      <c r="B184" s="43"/>
      <c r="C184" s="43"/>
      <c r="D184" s="43"/>
      <c r="E184" s="780"/>
      <c r="F184" s="42"/>
      <c r="G184" s="1575"/>
      <c r="H184" s="1575"/>
      <c r="I184" s="1575"/>
      <c r="J184" s="778"/>
    </row>
    <row r="185" spans="2:18" s="20" customFormat="1" ht="20.100000000000001" customHeight="1" x14ac:dyDescent="0.3">
      <c r="B185" s="43"/>
      <c r="C185" s="43"/>
      <c r="D185" s="43"/>
      <c r="E185" s="781"/>
      <c r="F185" s="41"/>
      <c r="G185" s="1574"/>
      <c r="H185" s="1574"/>
      <c r="I185" s="1574"/>
      <c r="J185" s="33"/>
    </row>
    <row r="186" spans="2:18" s="20" customFormat="1" ht="20.100000000000001" customHeight="1" x14ac:dyDescent="0.25">
      <c r="B186" s="30"/>
      <c r="C186" s="30"/>
      <c r="D186" s="30"/>
      <c r="H186" s="34"/>
      <c r="I186" s="33"/>
      <c r="J186" s="33"/>
    </row>
    <row r="187" spans="2:18" s="20" customFormat="1" ht="20.100000000000001" customHeight="1" x14ac:dyDescent="0.25">
      <c r="B187" s="30"/>
      <c r="C187" s="30"/>
      <c r="D187" s="30"/>
      <c r="H187" s="35"/>
      <c r="I187" s="33"/>
      <c r="J187" s="33"/>
      <c r="L187" s="16"/>
      <c r="M187" s="16"/>
    </row>
    <row r="188" spans="2:18" ht="20.100000000000001" customHeight="1" x14ac:dyDescent="0.25">
      <c r="B188" s="30"/>
      <c r="C188" s="30"/>
      <c r="D188" s="30"/>
      <c r="E188" s="20"/>
      <c r="F188" s="20"/>
      <c r="G188" s="20"/>
      <c r="H188" s="34"/>
      <c r="I188" s="33"/>
    </row>
    <row r="189" spans="2:18" ht="20.100000000000001" customHeight="1" x14ac:dyDescent="0.25">
      <c r="E189" s="36"/>
      <c r="F189" s="36"/>
      <c r="G189" s="36"/>
      <c r="H189" s="17"/>
    </row>
    <row r="190" spans="2:18" ht="20.100000000000001" customHeight="1" x14ac:dyDescent="0.3">
      <c r="E190" s="37"/>
      <c r="F190" s="37"/>
      <c r="G190" s="37"/>
      <c r="H190" s="17"/>
    </row>
    <row r="191" spans="2:18" ht="20.100000000000001" customHeight="1" x14ac:dyDescent="0.25">
      <c r="H191" s="38"/>
    </row>
    <row r="192" spans="2:18" ht="20.100000000000001" customHeight="1" x14ac:dyDescent="0.25">
      <c r="H192" s="17"/>
    </row>
    <row r="193" spans="2:10" ht="20.100000000000001" customHeight="1" x14ac:dyDescent="0.25"/>
    <row r="194" spans="2:10" ht="20.100000000000001" customHeight="1" x14ac:dyDescent="0.25"/>
    <row r="195" spans="2:10" ht="20.100000000000001" customHeight="1" x14ac:dyDescent="0.25"/>
    <row r="196" spans="2:10" ht="20.100000000000001" customHeight="1" x14ac:dyDescent="0.25"/>
    <row r="197" spans="2:10" ht="20.100000000000001" customHeight="1" x14ac:dyDescent="0.25"/>
    <row r="198" spans="2:10" ht="20.100000000000001" customHeight="1" x14ac:dyDescent="0.25"/>
    <row r="199" spans="2:10" ht="20.100000000000001" customHeight="1" x14ac:dyDescent="0.25"/>
    <row r="200" spans="2:10" ht="20.100000000000001" customHeight="1" x14ac:dyDescent="0.25">
      <c r="J200" s="16"/>
    </row>
    <row r="201" spans="2:10" ht="20.100000000000001" customHeight="1" x14ac:dyDescent="0.25">
      <c r="B201" s="16"/>
      <c r="C201" s="16"/>
      <c r="D201" s="16"/>
      <c r="I201" s="16"/>
      <c r="J201" s="16"/>
    </row>
    <row r="202" spans="2:10" ht="20.100000000000001" customHeight="1" x14ac:dyDescent="0.25">
      <c r="B202" s="16"/>
      <c r="C202" s="16"/>
      <c r="D202" s="16"/>
      <c r="I202" s="16"/>
      <c r="J202" s="16"/>
    </row>
    <row r="203" spans="2:10" x14ac:dyDescent="0.25">
      <c r="B203" s="16"/>
      <c r="C203" s="16"/>
      <c r="D203" s="16"/>
      <c r="I203" s="16"/>
      <c r="J203" s="16"/>
    </row>
    <row r="204" spans="2:10" x14ac:dyDescent="0.25">
      <c r="B204" s="16"/>
      <c r="C204" s="16"/>
      <c r="D204" s="16"/>
      <c r="I204" s="16"/>
      <c r="J204" s="16"/>
    </row>
    <row r="205" spans="2:10" x14ac:dyDescent="0.25">
      <c r="B205" s="16"/>
      <c r="C205" s="16"/>
      <c r="D205" s="16"/>
      <c r="I205" s="16"/>
      <c r="J205" s="16"/>
    </row>
    <row r="206" spans="2:10" x14ac:dyDescent="0.25">
      <c r="B206" s="16"/>
      <c r="C206" s="16"/>
      <c r="D206" s="16"/>
      <c r="I206" s="16"/>
      <c r="J206" s="16"/>
    </row>
    <row r="207" spans="2:10" x14ac:dyDescent="0.25">
      <c r="B207" s="16"/>
      <c r="C207" s="16"/>
      <c r="D207" s="16"/>
      <c r="I207" s="16"/>
      <c r="J207" s="16"/>
    </row>
    <row r="208" spans="2:10" x14ac:dyDescent="0.25">
      <c r="B208" s="16"/>
      <c r="C208" s="16"/>
      <c r="D208" s="16"/>
      <c r="I208" s="16"/>
      <c r="J208" s="16"/>
    </row>
    <row r="209" spans="2:10" x14ac:dyDescent="0.25">
      <c r="B209" s="16"/>
      <c r="C209" s="16"/>
      <c r="D209" s="16"/>
      <c r="I209" s="16"/>
      <c r="J209" s="16"/>
    </row>
    <row r="210" spans="2:10" x14ac:dyDescent="0.25">
      <c r="B210" s="16"/>
      <c r="C210" s="16"/>
      <c r="D210" s="16"/>
      <c r="I210" s="16"/>
      <c r="J210" s="16"/>
    </row>
    <row r="211" spans="2:10" x14ac:dyDescent="0.25">
      <c r="B211" s="16"/>
      <c r="C211" s="16"/>
      <c r="D211" s="16"/>
      <c r="I211" s="16"/>
      <c r="J211" s="16"/>
    </row>
    <row r="212" spans="2:10" x14ac:dyDescent="0.25">
      <c r="B212" s="16"/>
      <c r="C212" s="16"/>
      <c r="D212" s="16"/>
      <c r="I212" s="16"/>
      <c r="J212" s="16"/>
    </row>
    <row r="213" spans="2:10" x14ac:dyDescent="0.25">
      <c r="B213" s="16"/>
      <c r="C213" s="16"/>
      <c r="D213" s="16"/>
      <c r="I213" s="16"/>
      <c r="J213" s="16"/>
    </row>
    <row r="214" spans="2:10" x14ac:dyDescent="0.25">
      <c r="B214" s="16"/>
      <c r="C214" s="16"/>
      <c r="D214" s="16"/>
      <c r="I214" s="16"/>
      <c r="J214" s="16"/>
    </row>
    <row r="215" spans="2:10" x14ac:dyDescent="0.25">
      <c r="B215" s="16"/>
      <c r="C215" s="16"/>
      <c r="D215" s="16"/>
      <c r="I215" s="16"/>
      <c r="J215" s="16"/>
    </row>
    <row r="216" spans="2:10" x14ac:dyDescent="0.25">
      <c r="B216" s="16"/>
      <c r="C216" s="16"/>
      <c r="D216" s="16"/>
      <c r="I216" s="16"/>
      <c r="J216" s="16"/>
    </row>
    <row r="217" spans="2:10" x14ac:dyDescent="0.25">
      <c r="B217" s="16"/>
      <c r="C217" s="16"/>
      <c r="D217" s="16"/>
      <c r="I217" s="16"/>
      <c r="J217" s="16"/>
    </row>
    <row r="218" spans="2:10" x14ac:dyDescent="0.25">
      <c r="B218" s="16"/>
      <c r="C218" s="16"/>
      <c r="D218" s="16"/>
      <c r="I218" s="16"/>
      <c r="J218" s="16"/>
    </row>
    <row r="219" spans="2:10" x14ac:dyDescent="0.25">
      <c r="B219" s="16"/>
      <c r="C219" s="16"/>
      <c r="D219" s="16"/>
      <c r="I219" s="16"/>
      <c r="J219" s="16"/>
    </row>
    <row r="220" spans="2:10" x14ac:dyDescent="0.25">
      <c r="B220" s="16"/>
      <c r="C220" s="16"/>
      <c r="D220" s="16"/>
      <c r="I220" s="16"/>
      <c r="J220" s="16"/>
    </row>
    <row r="221" spans="2:10" x14ac:dyDescent="0.25">
      <c r="B221" s="16"/>
      <c r="C221" s="16"/>
      <c r="D221" s="16"/>
      <c r="I221" s="16"/>
      <c r="J221" s="16"/>
    </row>
    <row r="222" spans="2:10" x14ac:dyDescent="0.25">
      <c r="B222" s="16"/>
      <c r="C222" s="16"/>
      <c r="D222" s="16"/>
      <c r="I222" s="16"/>
      <c r="J222" s="16"/>
    </row>
    <row r="223" spans="2:10" x14ac:dyDescent="0.25">
      <c r="B223" s="16"/>
      <c r="C223" s="16"/>
      <c r="D223" s="16"/>
      <c r="I223" s="16"/>
      <c r="J223" s="16"/>
    </row>
    <row r="224" spans="2:10" x14ac:dyDescent="0.25">
      <c r="B224" s="16"/>
      <c r="C224" s="16"/>
      <c r="D224" s="16"/>
      <c r="I224" s="16"/>
      <c r="J224" s="16"/>
    </row>
    <row r="225" spans="2:10" x14ac:dyDescent="0.25">
      <c r="B225" s="16"/>
      <c r="C225" s="16"/>
      <c r="D225" s="16"/>
      <c r="I225" s="16"/>
      <c r="J225" s="16"/>
    </row>
    <row r="226" spans="2:10" x14ac:dyDescent="0.25">
      <c r="B226" s="16"/>
      <c r="C226" s="16"/>
      <c r="D226" s="16"/>
      <c r="I226" s="16"/>
      <c r="J226" s="16"/>
    </row>
    <row r="227" spans="2:10" x14ac:dyDescent="0.25">
      <c r="B227" s="16"/>
      <c r="C227" s="16"/>
      <c r="D227" s="16"/>
      <c r="I227" s="16"/>
      <c r="J227" s="16"/>
    </row>
    <row r="228" spans="2:10" x14ac:dyDescent="0.25">
      <c r="B228" s="16"/>
      <c r="C228" s="16"/>
      <c r="D228" s="16"/>
      <c r="I228" s="16"/>
      <c r="J228" s="16"/>
    </row>
    <row r="229" spans="2:10" x14ac:dyDescent="0.25">
      <c r="B229" s="16"/>
      <c r="C229" s="16"/>
      <c r="D229" s="16"/>
      <c r="I229" s="16"/>
      <c r="J229" s="16"/>
    </row>
    <row r="230" spans="2:10" x14ac:dyDescent="0.25">
      <c r="B230" s="16"/>
      <c r="C230" s="16"/>
      <c r="D230" s="16"/>
      <c r="I230" s="16"/>
      <c r="J230" s="16"/>
    </row>
    <row r="231" spans="2:10" x14ac:dyDescent="0.25">
      <c r="B231" s="16"/>
      <c r="C231" s="16"/>
      <c r="D231" s="16"/>
      <c r="I231" s="16"/>
      <c r="J231" s="16"/>
    </row>
    <row r="232" spans="2:10" x14ac:dyDescent="0.25">
      <c r="B232" s="16"/>
      <c r="C232" s="16"/>
      <c r="D232" s="16"/>
      <c r="I232" s="16"/>
      <c r="J232" s="16"/>
    </row>
    <row r="233" spans="2:10" x14ac:dyDescent="0.25">
      <c r="B233" s="16"/>
      <c r="C233" s="16"/>
      <c r="D233" s="16"/>
      <c r="I233" s="16"/>
      <c r="J233" s="16"/>
    </row>
    <row r="234" spans="2:10" x14ac:dyDescent="0.25">
      <c r="B234" s="16"/>
      <c r="C234" s="16"/>
      <c r="D234" s="16"/>
      <c r="I234" s="16"/>
      <c r="J234" s="16"/>
    </row>
    <row r="235" spans="2:10" x14ac:dyDescent="0.25">
      <c r="B235" s="16"/>
      <c r="C235" s="16"/>
      <c r="D235" s="16"/>
      <c r="I235" s="16"/>
      <c r="J235" s="16"/>
    </row>
    <row r="236" spans="2:10" x14ac:dyDescent="0.25">
      <c r="B236" s="16"/>
      <c r="C236" s="16"/>
      <c r="D236" s="16"/>
      <c r="I236" s="16"/>
      <c r="J236" s="16"/>
    </row>
    <row r="237" spans="2:10" x14ac:dyDescent="0.25">
      <c r="B237" s="16"/>
      <c r="C237" s="16"/>
      <c r="D237" s="16"/>
      <c r="I237" s="16"/>
      <c r="J237" s="16"/>
    </row>
    <row r="238" spans="2:10" x14ac:dyDescent="0.25">
      <c r="B238" s="16"/>
      <c r="C238" s="16"/>
      <c r="D238" s="16"/>
      <c r="I238" s="16"/>
      <c r="J238" s="16"/>
    </row>
    <row r="239" spans="2:10" x14ac:dyDescent="0.25">
      <c r="B239" s="16"/>
      <c r="C239" s="16"/>
      <c r="D239" s="16"/>
      <c r="I239" s="16"/>
      <c r="J239" s="16"/>
    </row>
    <row r="240" spans="2:10" x14ac:dyDescent="0.25">
      <c r="B240" s="16"/>
      <c r="C240" s="16"/>
      <c r="D240" s="16"/>
      <c r="I240" s="16"/>
      <c r="J240" s="16"/>
    </row>
    <row r="241" spans="2:10" x14ac:dyDescent="0.25">
      <c r="B241" s="16"/>
      <c r="C241" s="16"/>
      <c r="D241" s="16"/>
      <c r="I241" s="16"/>
      <c r="J241" s="16"/>
    </row>
    <row r="242" spans="2:10" x14ac:dyDescent="0.25">
      <c r="B242" s="16"/>
      <c r="C242" s="16"/>
      <c r="D242" s="16"/>
      <c r="I242" s="16"/>
      <c r="J242" s="16"/>
    </row>
    <row r="243" spans="2:10" x14ac:dyDescent="0.25">
      <c r="B243" s="16"/>
      <c r="C243" s="16"/>
      <c r="D243" s="16"/>
      <c r="I243" s="16"/>
      <c r="J243" s="16"/>
    </row>
    <row r="244" spans="2:10" x14ac:dyDescent="0.25">
      <c r="B244" s="16"/>
      <c r="C244" s="16"/>
      <c r="D244" s="16"/>
      <c r="I244" s="16"/>
      <c r="J244" s="16"/>
    </row>
    <row r="245" spans="2:10" x14ac:dyDescent="0.25">
      <c r="B245" s="16"/>
      <c r="C245" s="16"/>
      <c r="D245" s="16"/>
      <c r="I245" s="16"/>
      <c r="J245" s="16"/>
    </row>
    <row r="246" spans="2:10" x14ac:dyDescent="0.25">
      <c r="B246" s="16"/>
      <c r="C246" s="16"/>
      <c r="D246" s="16"/>
      <c r="I246" s="16"/>
      <c r="J246" s="16"/>
    </row>
    <row r="247" spans="2:10" x14ac:dyDescent="0.25">
      <c r="B247" s="16"/>
      <c r="C247" s="16"/>
      <c r="D247" s="16"/>
      <c r="I247" s="16"/>
      <c r="J247" s="16"/>
    </row>
    <row r="248" spans="2:10" x14ac:dyDescent="0.25">
      <c r="B248" s="16"/>
      <c r="C248" s="16"/>
      <c r="D248" s="16"/>
      <c r="I248" s="16"/>
      <c r="J248" s="16"/>
    </row>
    <row r="249" spans="2:10" x14ac:dyDescent="0.25">
      <c r="B249" s="16"/>
      <c r="C249" s="16"/>
      <c r="D249" s="16"/>
      <c r="I249" s="16"/>
      <c r="J249" s="16"/>
    </row>
    <row r="250" spans="2:10" x14ac:dyDescent="0.25">
      <c r="B250" s="16"/>
      <c r="C250" s="16"/>
      <c r="D250" s="16"/>
      <c r="I250" s="16"/>
      <c r="J250" s="16"/>
    </row>
    <row r="251" spans="2:10" x14ac:dyDescent="0.25">
      <c r="B251" s="16"/>
      <c r="C251" s="16"/>
      <c r="D251" s="16"/>
      <c r="I251" s="16"/>
      <c r="J251" s="16"/>
    </row>
    <row r="252" spans="2:10" x14ac:dyDescent="0.25">
      <c r="B252" s="16"/>
      <c r="C252" s="16"/>
      <c r="D252" s="16"/>
      <c r="I252" s="16"/>
      <c r="J252" s="16"/>
    </row>
    <row r="253" spans="2:10" x14ac:dyDescent="0.25">
      <c r="B253" s="16"/>
      <c r="C253" s="16"/>
      <c r="D253" s="16"/>
      <c r="I253" s="16"/>
      <c r="J253" s="16"/>
    </row>
    <row r="254" spans="2:10" x14ac:dyDescent="0.25">
      <c r="B254" s="16"/>
      <c r="C254" s="16"/>
      <c r="D254" s="16"/>
      <c r="I254" s="16"/>
      <c r="J254" s="16"/>
    </row>
    <row r="255" spans="2:10" x14ac:dyDescent="0.25">
      <c r="B255" s="16"/>
      <c r="C255" s="16"/>
      <c r="D255" s="16"/>
      <c r="I255" s="16"/>
      <c r="J255" s="16"/>
    </row>
    <row r="256" spans="2:10" x14ac:dyDescent="0.25">
      <c r="B256" s="16"/>
      <c r="C256" s="16"/>
      <c r="D256" s="16"/>
      <c r="I256" s="16"/>
    </row>
  </sheetData>
  <mergeCells count="12">
    <mergeCell ref="B4:I5"/>
    <mergeCell ref="G7:H7"/>
    <mergeCell ref="G8:H8"/>
    <mergeCell ref="C7:F7"/>
    <mergeCell ref="P7:Q7"/>
    <mergeCell ref="N7:O7"/>
    <mergeCell ref="G175:I175"/>
    <mergeCell ref="G185:I185"/>
    <mergeCell ref="G184:I184"/>
    <mergeCell ref="G178:I178"/>
    <mergeCell ref="G177:I177"/>
    <mergeCell ref="G176:I176"/>
  </mergeCells>
  <pageMargins left="0.90551181102362199" right="0.31496062992126" top="0.39" bottom="0.16" header="0.31496062992126" footer="0.118110236220472"/>
  <pageSetup paperSize="9" scale="85" orientation="portrait" r:id="rId1"/>
  <rowBreaks count="2" manualBreakCount="2">
    <brk id="62" max="9" man="1"/>
    <brk id="185" min="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87"/>
  <sheetViews>
    <sheetView view="pageBreakPreview" topLeftCell="A157" zoomScale="80" zoomScaleNormal="90" zoomScaleSheetLayoutView="80" workbookViewId="0">
      <selection activeCell="Q168" sqref="Q168"/>
    </sheetView>
  </sheetViews>
  <sheetFormatPr defaultRowHeight="16.5" x14ac:dyDescent="0.3"/>
  <cols>
    <col min="1" max="1" width="2" style="569" customWidth="1"/>
    <col min="2" max="2" width="5.7109375" style="614" customWidth="1"/>
    <col min="3" max="3" width="11.42578125" style="616" customWidth="1"/>
    <col min="4" max="4" width="2" style="616" customWidth="1"/>
    <col min="5" max="5" width="57.42578125" style="616" customWidth="1"/>
    <col min="6" max="6" width="8.85546875" style="619" customWidth="1"/>
    <col min="7" max="7" width="4.85546875" style="616" customWidth="1"/>
    <col min="8" max="8" width="24.28515625" style="616" customWidth="1"/>
    <col min="9" max="9" width="8.42578125" style="616" customWidth="1"/>
    <col min="10" max="10" width="2.7109375" style="616" customWidth="1"/>
    <col min="11" max="11" width="8.5703125" style="616" bestFit="1" customWidth="1"/>
    <col min="12" max="12" width="2.7109375" style="616" customWidth="1"/>
    <col min="13" max="13" width="8.5703125" style="616" bestFit="1" customWidth="1"/>
    <col min="14" max="14" width="2.7109375" style="616" customWidth="1"/>
    <col min="15" max="15" width="8.28515625" style="617" customWidth="1"/>
    <col min="16" max="16" width="2.7109375" style="616" customWidth="1"/>
    <col min="17" max="17" width="8.7109375" style="616" customWidth="1"/>
    <col min="18" max="18" width="2.7109375" style="616" customWidth="1"/>
    <col min="19" max="19" width="8.85546875" style="616" customWidth="1"/>
    <col min="20" max="20" width="3" style="616" customWidth="1"/>
    <col min="21" max="21" width="6.7109375" style="616" customWidth="1"/>
    <col min="22" max="22" width="1.42578125" style="616" customWidth="1"/>
    <col min="23" max="23" width="7" style="616" customWidth="1"/>
    <col min="24" max="24" width="3.140625" style="616" customWidth="1"/>
    <col min="25" max="25" width="16.5703125" style="616" customWidth="1"/>
    <col min="26" max="26" width="9.140625" style="569"/>
    <col min="27" max="27" width="15.5703125" style="569" customWidth="1"/>
    <col min="28" max="28" width="9.140625" style="569"/>
    <col min="29" max="29" width="11.85546875" style="569" bestFit="1" customWidth="1"/>
    <col min="30" max="16384" width="9.140625" style="569"/>
  </cols>
  <sheetData>
    <row r="1" spans="2:28" ht="18" customHeight="1" x14ac:dyDescent="0.3">
      <c r="B1" s="1608" t="s">
        <v>1015</v>
      </c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</row>
    <row r="2" spans="2:28" ht="18" customHeight="1" x14ac:dyDescent="0.3">
      <c r="B2" s="788"/>
      <c r="C2" s="788"/>
      <c r="D2" s="1255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</row>
    <row r="3" spans="2:28" ht="18" customHeight="1" x14ac:dyDescent="0.3">
      <c r="B3" s="1159" t="s">
        <v>995</v>
      </c>
      <c r="C3" s="788"/>
      <c r="D3" s="1255" t="s">
        <v>127</v>
      </c>
      <c r="E3" s="1159" t="str">
        <f>RAB!F8</f>
        <v>SUMATERA UTARA</v>
      </c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</row>
    <row r="4" spans="2:28" ht="18" customHeight="1" x14ac:dyDescent="0.3">
      <c r="B4" s="1160" t="s">
        <v>996</v>
      </c>
      <c r="C4" s="788"/>
      <c r="D4" s="1255" t="s">
        <v>127</v>
      </c>
      <c r="E4" s="1159" t="str">
        <f>RAB!F9</f>
        <v>DELI SERDANG</v>
      </c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</row>
    <row r="5" spans="2:28" ht="15" x14ac:dyDescent="0.3">
      <c r="B5" s="1160" t="s">
        <v>997</v>
      </c>
      <c r="C5" s="570"/>
      <c r="D5" s="570" t="s">
        <v>127</v>
      </c>
      <c r="E5" s="1162" t="str">
        <f>RAB!F10</f>
        <v>PERENCANAAN RENOVASI GUDANG SARANA PRODUKSI BI PALAWIJA TANJUNG SELAMAT</v>
      </c>
      <c r="F5" s="570"/>
      <c r="G5" s="570"/>
      <c r="H5" s="570"/>
      <c r="I5" s="570"/>
      <c r="J5" s="570"/>
      <c r="K5" s="570"/>
      <c r="L5" s="570"/>
      <c r="M5" s="570"/>
      <c r="N5" s="570"/>
      <c r="O5" s="571"/>
      <c r="P5" s="570"/>
      <c r="Q5" s="570"/>
      <c r="R5" s="570"/>
      <c r="S5" s="570"/>
      <c r="T5" s="570"/>
      <c r="U5" s="570"/>
      <c r="V5" s="570"/>
      <c r="W5" s="570"/>
      <c r="X5" s="570"/>
      <c r="Y5" s="570"/>
    </row>
    <row r="6" spans="2:28" ht="15" x14ac:dyDescent="0.3">
      <c r="B6" s="1160"/>
      <c r="C6" s="570"/>
      <c r="D6" s="570"/>
      <c r="E6" s="1163"/>
      <c r="F6" s="570"/>
      <c r="G6" s="570"/>
      <c r="H6" s="570"/>
      <c r="I6" s="570"/>
      <c r="J6" s="570"/>
      <c r="K6" s="570"/>
      <c r="L6" s="570"/>
      <c r="M6" s="570"/>
      <c r="N6" s="570"/>
      <c r="O6" s="571"/>
      <c r="P6" s="570"/>
      <c r="Q6" s="570"/>
      <c r="R6" s="570"/>
      <c r="S6" s="570"/>
      <c r="T6" s="570"/>
      <c r="U6" s="570"/>
      <c r="V6" s="570"/>
      <c r="W6" s="570"/>
      <c r="X6" s="570"/>
      <c r="Y6" s="570"/>
    </row>
    <row r="7" spans="2:28" ht="15.75" thickBot="1" x14ac:dyDescent="0.35">
      <c r="B7" s="1160"/>
      <c r="C7" s="570"/>
      <c r="D7" s="570"/>
      <c r="E7" s="1161"/>
      <c r="F7" s="570"/>
      <c r="G7" s="570"/>
      <c r="H7" s="570"/>
      <c r="I7" s="570"/>
      <c r="J7" s="570"/>
      <c r="K7" s="570"/>
      <c r="L7" s="570"/>
      <c r="M7" s="570"/>
      <c r="N7" s="570"/>
      <c r="O7" s="571"/>
      <c r="P7" s="570"/>
      <c r="Q7" s="570"/>
      <c r="R7" s="570"/>
      <c r="S7" s="570"/>
      <c r="T7" s="570"/>
      <c r="U7" s="570"/>
      <c r="V7" s="570"/>
      <c r="W7" s="570"/>
      <c r="X7" s="570"/>
      <c r="Y7" s="570"/>
    </row>
    <row r="8" spans="2:28" ht="15" x14ac:dyDescent="0.3">
      <c r="B8" s="1609" t="s">
        <v>660</v>
      </c>
      <c r="C8" s="1611" t="s">
        <v>120</v>
      </c>
      <c r="D8" s="1611"/>
      <c r="E8" s="1611"/>
      <c r="F8" s="1613" t="s">
        <v>121</v>
      </c>
      <c r="G8" s="1614"/>
      <c r="H8" s="1615" t="s">
        <v>687</v>
      </c>
      <c r="I8" s="1617" t="s">
        <v>688</v>
      </c>
      <c r="J8" s="1618"/>
      <c r="K8" s="1618"/>
      <c r="L8" s="1618"/>
      <c r="M8" s="1618"/>
      <c r="N8" s="1618"/>
      <c r="O8" s="1618"/>
      <c r="P8" s="1618"/>
      <c r="Q8" s="1618"/>
      <c r="R8" s="1618"/>
      <c r="S8" s="1618"/>
      <c r="T8" s="1618"/>
      <c r="U8" s="1618"/>
      <c r="V8" s="1618"/>
      <c r="W8" s="1618"/>
      <c r="X8" s="1618"/>
      <c r="Y8" s="1619"/>
    </row>
    <row r="9" spans="2:28" ht="15.75" thickBot="1" x14ac:dyDescent="0.35">
      <c r="B9" s="1610"/>
      <c r="C9" s="1612"/>
      <c r="D9" s="1612"/>
      <c r="E9" s="1612"/>
      <c r="F9" s="572" t="s">
        <v>689</v>
      </c>
      <c r="G9" s="573" t="s">
        <v>690</v>
      </c>
      <c r="H9" s="1616"/>
      <c r="I9" s="1620"/>
      <c r="J9" s="1621"/>
      <c r="K9" s="1621"/>
      <c r="L9" s="1621"/>
      <c r="M9" s="1621"/>
      <c r="N9" s="1621"/>
      <c r="O9" s="1621"/>
      <c r="P9" s="1621"/>
      <c r="Q9" s="1621"/>
      <c r="R9" s="1621"/>
      <c r="S9" s="1621"/>
      <c r="T9" s="1621"/>
      <c r="U9" s="1621"/>
      <c r="V9" s="1621"/>
      <c r="W9" s="1621"/>
      <c r="X9" s="1621"/>
      <c r="Y9" s="1622"/>
    </row>
    <row r="10" spans="2:28" ht="15.75" thickTop="1" x14ac:dyDescent="0.3">
      <c r="B10" s="574" t="s">
        <v>468</v>
      </c>
      <c r="C10" s="575" t="str">
        <f>[2]RAB!E13</f>
        <v>PEKERJAAN PERSIAPAN</v>
      </c>
      <c r="D10" s="575"/>
      <c r="E10" s="576"/>
      <c r="F10" s="577"/>
      <c r="G10" s="576"/>
      <c r="H10" s="576"/>
      <c r="I10" s="578"/>
      <c r="J10" s="579"/>
      <c r="K10" s="579"/>
      <c r="L10" s="579"/>
      <c r="M10" s="579"/>
      <c r="N10" s="579"/>
      <c r="O10" s="580"/>
      <c r="P10" s="579"/>
      <c r="Q10" s="579"/>
      <c r="R10" s="579"/>
      <c r="S10" s="579"/>
      <c r="T10" s="579"/>
      <c r="U10" s="579"/>
      <c r="V10" s="579"/>
      <c r="W10" s="579"/>
      <c r="X10" s="579"/>
      <c r="Y10" s="581"/>
      <c r="AA10" s="582"/>
    </row>
    <row r="11" spans="2:28" ht="15" x14ac:dyDescent="0.3">
      <c r="B11" s="584">
        <v>1</v>
      </c>
      <c r="C11" s="585" t="s">
        <v>691</v>
      </c>
      <c r="D11" s="585"/>
      <c r="E11" s="585"/>
      <c r="F11" s="583">
        <v>1</v>
      </c>
      <c r="G11" s="576" t="s">
        <v>132</v>
      </c>
      <c r="H11" s="586"/>
      <c r="I11" s="587"/>
      <c r="J11" s="588"/>
      <c r="K11" s="588"/>
      <c r="L11" s="588"/>
      <c r="M11" s="588"/>
      <c r="N11" s="588"/>
      <c r="O11" s="589"/>
      <c r="P11" s="588"/>
      <c r="Q11" s="588"/>
      <c r="R11" s="588"/>
      <c r="S11" s="588"/>
      <c r="T11" s="588"/>
      <c r="U11" s="588"/>
      <c r="V11" s="588"/>
      <c r="W11" s="588"/>
      <c r="X11" s="588"/>
      <c r="Y11" s="590"/>
      <c r="AA11" s="582"/>
    </row>
    <row r="12" spans="2:28" s="595" customFormat="1" ht="15" x14ac:dyDescent="0.3">
      <c r="B12" s="601">
        <v>2</v>
      </c>
      <c r="C12" s="1584" t="str">
        <f>[2]RAB!E14</f>
        <v>Pengukuran &amp; Bowplank</v>
      </c>
      <c r="D12" s="1585"/>
      <c r="E12" s="1586"/>
      <c r="F12" s="789">
        <f>U12</f>
        <v>41.2</v>
      </c>
      <c r="G12" s="597" t="s">
        <v>435</v>
      </c>
      <c r="H12" s="597" t="s">
        <v>1026</v>
      </c>
      <c r="I12" s="790">
        <v>14.4</v>
      </c>
      <c r="J12" s="592" t="s">
        <v>693</v>
      </c>
      <c r="K12" s="592">
        <v>7.2</v>
      </c>
      <c r="L12" s="592" t="s">
        <v>693</v>
      </c>
      <c r="M12" s="592">
        <v>5.2</v>
      </c>
      <c r="N12" s="592" t="s">
        <v>693</v>
      </c>
      <c r="O12" s="791">
        <v>2</v>
      </c>
      <c r="P12" s="592" t="s">
        <v>693</v>
      </c>
      <c r="Q12" s="592">
        <v>7.2</v>
      </c>
      <c r="R12" s="592" t="s">
        <v>693</v>
      </c>
      <c r="S12" s="592">
        <v>5.2</v>
      </c>
      <c r="T12" s="592" t="s">
        <v>10</v>
      </c>
      <c r="U12" s="592">
        <f>I12+K12+M12+O12+Q12+S12</f>
        <v>41.2</v>
      </c>
      <c r="V12" s="592"/>
      <c r="W12" s="592"/>
      <c r="X12" s="592"/>
      <c r="Y12" s="599"/>
      <c r="AA12" s="600">
        <v>887459</v>
      </c>
    </row>
    <row r="13" spans="2:28" s="595" customFormat="1" ht="15" x14ac:dyDescent="0.3">
      <c r="B13" s="1310">
        <v>3</v>
      </c>
      <c r="C13" s="1311" t="s">
        <v>1019</v>
      </c>
      <c r="D13" s="1311"/>
      <c r="E13" s="1312"/>
      <c r="F13" s="1313">
        <f>O13</f>
        <v>37.440000000000005</v>
      </c>
      <c r="G13" s="597" t="s">
        <v>309</v>
      </c>
      <c r="H13" s="903"/>
      <c r="I13" s="869">
        <v>7.2</v>
      </c>
      <c r="J13" s="851" t="s">
        <v>8</v>
      </c>
      <c r="K13" s="851">
        <v>5.2</v>
      </c>
      <c r="L13" s="851" t="s">
        <v>8</v>
      </c>
      <c r="M13" s="851">
        <v>1</v>
      </c>
      <c r="N13" s="592" t="s">
        <v>10</v>
      </c>
      <c r="O13" s="905">
        <f>I13*K13*M13</f>
        <v>37.440000000000005</v>
      </c>
      <c r="P13" s="851"/>
      <c r="Q13" s="851"/>
      <c r="R13" s="851"/>
      <c r="S13" s="851"/>
      <c r="T13" s="851"/>
      <c r="U13" s="851"/>
      <c r="V13" s="851"/>
      <c r="W13" s="851"/>
      <c r="X13" s="851"/>
      <c r="Y13" s="895"/>
      <c r="AA13" s="600"/>
    </row>
    <row r="14" spans="2:28" s="595" customFormat="1" ht="15" x14ac:dyDescent="0.3">
      <c r="B14" s="1310">
        <v>4</v>
      </c>
      <c r="C14" s="1311" t="s">
        <v>1022</v>
      </c>
      <c r="D14" s="1311"/>
      <c r="E14" s="1312"/>
      <c r="F14" s="1313">
        <f>S14</f>
        <v>62</v>
      </c>
      <c r="G14" s="597" t="s">
        <v>309</v>
      </c>
      <c r="H14" s="903"/>
      <c r="I14" s="869">
        <v>7.2</v>
      </c>
      <c r="J14" s="851" t="s">
        <v>8</v>
      </c>
      <c r="K14" s="851">
        <v>2.5</v>
      </c>
      <c r="L14" s="592" t="s">
        <v>693</v>
      </c>
      <c r="M14" s="851">
        <v>5.2</v>
      </c>
      <c r="N14" s="851" t="s">
        <v>8</v>
      </c>
      <c r="O14" s="905">
        <v>2.5</v>
      </c>
      <c r="P14" s="851" t="s">
        <v>8</v>
      </c>
      <c r="Q14" s="851">
        <v>2</v>
      </c>
      <c r="R14" s="592" t="s">
        <v>10</v>
      </c>
      <c r="S14" s="851">
        <f>((I14*K14)+(M14*O14))*2</f>
        <v>62</v>
      </c>
      <c r="T14" s="851"/>
      <c r="U14" s="851"/>
      <c r="V14" s="851"/>
      <c r="W14" s="851"/>
      <c r="X14" s="851"/>
      <c r="Y14" s="895"/>
      <c r="AA14" s="600"/>
    </row>
    <row r="15" spans="2:28" s="595" customFormat="1" ht="15" x14ac:dyDescent="0.3">
      <c r="B15" s="792" t="s">
        <v>692</v>
      </c>
      <c r="C15" s="793" t="str">
        <f>[2]RAB!E18</f>
        <v xml:space="preserve">PEKERJAAN TANAH </v>
      </c>
      <c r="D15" s="793"/>
      <c r="E15" s="794"/>
      <c r="F15" s="795"/>
      <c r="G15" s="794"/>
      <c r="H15" s="796"/>
      <c r="I15" s="797"/>
      <c r="J15" s="798"/>
      <c r="K15" s="799"/>
      <c r="L15" s="798"/>
      <c r="M15" s="799"/>
      <c r="N15" s="798"/>
      <c r="O15" s="800"/>
      <c r="P15" s="798"/>
      <c r="Q15" s="798"/>
      <c r="R15" s="798"/>
      <c r="S15" s="798"/>
      <c r="T15" s="798"/>
      <c r="U15" s="798"/>
      <c r="V15" s="798"/>
      <c r="W15" s="798"/>
      <c r="X15" s="798"/>
      <c r="Y15" s="801"/>
      <c r="AA15" s="600"/>
    </row>
    <row r="16" spans="2:28" s="595" customFormat="1" ht="15" x14ac:dyDescent="0.3">
      <c r="B16" s="601">
        <v>1</v>
      </c>
      <c r="C16" s="1584" t="s">
        <v>1023</v>
      </c>
      <c r="D16" s="1585"/>
      <c r="E16" s="1586"/>
      <c r="F16" s="789">
        <f>Q16</f>
        <v>6.2720000000000011</v>
      </c>
      <c r="G16" s="597" t="s">
        <v>506</v>
      </c>
      <c r="H16" s="597" t="s">
        <v>1025</v>
      </c>
      <c r="I16" s="790">
        <v>0.8</v>
      </c>
      <c r="J16" s="592" t="s">
        <v>8</v>
      </c>
      <c r="K16" s="803">
        <v>0.8</v>
      </c>
      <c r="L16" s="592" t="s">
        <v>8</v>
      </c>
      <c r="M16" s="803">
        <v>1.4</v>
      </c>
      <c r="N16" s="592" t="s">
        <v>8</v>
      </c>
      <c r="O16" s="803">
        <v>7</v>
      </c>
      <c r="P16" s="592" t="s">
        <v>10</v>
      </c>
      <c r="Q16" s="803">
        <f>I16*K16*M16*O16</f>
        <v>6.2720000000000011</v>
      </c>
      <c r="R16" s="592" t="s">
        <v>506</v>
      </c>
      <c r="S16" s="803"/>
      <c r="T16" s="592"/>
      <c r="U16" s="592"/>
      <c r="V16" s="592"/>
      <c r="W16" s="592"/>
      <c r="X16" s="592"/>
      <c r="Y16" s="599"/>
      <c r="AA16" s="600">
        <f>I16*K16*M16</f>
        <v>0.89600000000000013</v>
      </c>
      <c r="AB16" s="595">
        <f>O16*Q16*S16*U16</f>
        <v>0</v>
      </c>
    </row>
    <row r="17" spans="2:27" s="595" customFormat="1" ht="15" x14ac:dyDescent="0.3">
      <c r="B17" s="601">
        <v>2</v>
      </c>
      <c r="C17" s="1584" t="s">
        <v>1024</v>
      </c>
      <c r="D17" s="1585"/>
      <c r="E17" s="1586"/>
      <c r="F17" s="811">
        <f>S17</f>
        <v>29.191500000000001</v>
      </c>
      <c r="G17" s="597" t="s">
        <v>506</v>
      </c>
      <c r="H17" s="597" t="s">
        <v>1027</v>
      </c>
      <c r="I17" s="790">
        <v>1.1499999999999999</v>
      </c>
      <c r="J17" s="592" t="s">
        <v>693</v>
      </c>
      <c r="K17" s="803">
        <v>0.8</v>
      </c>
      <c r="L17" s="592" t="s">
        <v>127</v>
      </c>
      <c r="M17" s="803">
        <v>2</v>
      </c>
      <c r="N17" s="592" t="s">
        <v>8</v>
      </c>
      <c r="O17" s="803">
        <v>0.6</v>
      </c>
      <c r="P17" s="592" t="s">
        <v>8</v>
      </c>
      <c r="Q17" s="803">
        <f>U12+3.5+5.2</f>
        <v>49.900000000000006</v>
      </c>
      <c r="R17" s="592" t="s">
        <v>10</v>
      </c>
      <c r="S17" s="803">
        <f>((I17+K17)/2)*O17*Q17</f>
        <v>29.191500000000001</v>
      </c>
      <c r="T17" s="592" t="s">
        <v>506</v>
      </c>
      <c r="U17" s="592"/>
      <c r="V17" s="592"/>
      <c r="W17" s="592"/>
      <c r="X17" s="592"/>
      <c r="Y17" s="599"/>
      <c r="AA17" s="600"/>
    </row>
    <row r="18" spans="2:27" s="595" customFormat="1" ht="15" x14ac:dyDescent="0.3">
      <c r="B18" s="802"/>
      <c r="C18" s="1283"/>
      <c r="D18" s="1284"/>
      <c r="E18" s="1285"/>
      <c r="F18" s="1313">
        <f>SUM(F16:F17)</f>
        <v>35.463500000000003</v>
      </c>
      <c r="G18" s="597" t="s">
        <v>506</v>
      </c>
      <c r="H18" s="597"/>
      <c r="I18" s="790"/>
      <c r="J18" s="592"/>
      <c r="K18" s="803"/>
      <c r="L18" s="592"/>
      <c r="M18" s="803"/>
      <c r="N18" s="592"/>
      <c r="O18" s="803"/>
      <c r="P18" s="592"/>
      <c r="Q18" s="803"/>
      <c r="R18" s="592"/>
      <c r="S18" s="803"/>
      <c r="T18" s="592"/>
      <c r="U18" s="592"/>
      <c r="V18" s="592"/>
      <c r="W18" s="592"/>
      <c r="X18" s="592"/>
      <c r="Y18" s="599"/>
      <c r="AA18" s="600"/>
    </row>
    <row r="19" spans="2:27" s="595" customFormat="1" ht="60" x14ac:dyDescent="0.3">
      <c r="B19" s="601">
        <v>3</v>
      </c>
      <c r="C19" s="877" t="s">
        <v>1028</v>
      </c>
      <c r="D19" s="838"/>
      <c r="E19" s="807"/>
      <c r="F19" s="789">
        <f>W19</f>
        <v>17.999600000000004</v>
      </c>
      <c r="G19" s="597" t="s">
        <v>506</v>
      </c>
      <c r="H19" s="591" t="s">
        <v>1029</v>
      </c>
      <c r="I19" s="790">
        <f>F18</f>
        <v>35.463500000000003</v>
      </c>
      <c r="J19" s="592" t="s">
        <v>694</v>
      </c>
      <c r="K19" s="803">
        <f>F29</f>
        <v>12.724500000000001</v>
      </c>
      <c r="L19" s="592" t="s">
        <v>694</v>
      </c>
      <c r="M19" s="803">
        <f>F32</f>
        <v>0</v>
      </c>
      <c r="N19" s="592" t="s">
        <v>694</v>
      </c>
      <c r="O19" s="804">
        <f>F20</f>
        <v>2.2444000000000002</v>
      </c>
      <c r="P19" s="592" t="s">
        <v>694</v>
      </c>
      <c r="Q19" s="805">
        <f>O39</f>
        <v>0</v>
      </c>
      <c r="R19" s="592" t="s">
        <v>694</v>
      </c>
      <c r="S19" s="592">
        <f>O38</f>
        <v>0</v>
      </c>
      <c r="T19" s="592" t="s">
        <v>694</v>
      </c>
      <c r="U19" s="592">
        <f>O44</f>
        <v>2.4950000000000006</v>
      </c>
      <c r="V19" s="592" t="s">
        <v>10</v>
      </c>
      <c r="W19" s="592">
        <f>I19-K19-M19-O19-Q19-S19-U19</f>
        <v>17.999600000000004</v>
      </c>
      <c r="X19" s="592" t="s">
        <v>506</v>
      </c>
      <c r="Y19" s="599"/>
      <c r="AA19" s="600"/>
    </row>
    <row r="20" spans="2:27" s="595" customFormat="1" ht="15" x14ac:dyDescent="0.3">
      <c r="B20" s="601">
        <v>4</v>
      </c>
      <c r="C20" s="1584" t="s">
        <v>695</v>
      </c>
      <c r="D20" s="1585"/>
      <c r="E20" s="1586"/>
      <c r="F20" s="806">
        <f>Q21+Q22</f>
        <v>2.2444000000000002</v>
      </c>
      <c r="G20" s="807" t="s">
        <v>506</v>
      </c>
      <c r="H20" s="597"/>
      <c r="I20" s="592"/>
      <c r="J20" s="592"/>
      <c r="K20" s="803"/>
      <c r="L20" s="592"/>
      <c r="M20" s="805"/>
      <c r="N20" s="592"/>
      <c r="O20" s="805"/>
      <c r="P20" s="592"/>
      <c r="Q20" s="805"/>
      <c r="R20" s="592"/>
      <c r="S20" s="808"/>
      <c r="T20" s="592"/>
      <c r="U20" s="592"/>
      <c r="V20" s="592"/>
      <c r="W20" s="592"/>
      <c r="X20" s="592"/>
      <c r="Y20" s="599"/>
      <c r="AA20" s="600"/>
    </row>
    <row r="21" spans="2:27" s="595" customFormat="1" ht="15" x14ac:dyDescent="0.3">
      <c r="B21" s="601"/>
      <c r="C21" s="1623" t="s">
        <v>1030</v>
      </c>
      <c r="D21" s="1624"/>
      <c r="E21" s="1625"/>
      <c r="F21" s="806"/>
      <c r="G21" s="807"/>
      <c r="H21" s="597" t="s">
        <v>698</v>
      </c>
      <c r="I21" s="592">
        <v>0.8</v>
      </c>
      <c r="J21" s="592" t="s">
        <v>8</v>
      </c>
      <c r="K21" s="803">
        <v>0.8</v>
      </c>
      <c r="L21" s="592" t="s">
        <v>8</v>
      </c>
      <c r="M21" s="805">
        <v>0.1</v>
      </c>
      <c r="N21" s="592" t="s">
        <v>8</v>
      </c>
      <c r="O21" s="805">
        <v>7</v>
      </c>
      <c r="P21" s="592" t="s">
        <v>10</v>
      </c>
      <c r="Q21" s="805">
        <f>I21*K21*M21*O21</f>
        <v>0.44800000000000012</v>
      </c>
      <c r="R21" s="592" t="s">
        <v>506</v>
      </c>
      <c r="S21" s="808" t="s">
        <v>699</v>
      </c>
      <c r="T21" s="592"/>
      <c r="U21" s="592"/>
      <c r="V21" s="592"/>
      <c r="W21" s="592"/>
      <c r="X21" s="592"/>
      <c r="Y21" s="599"/>
      <c r="AA21" s="600"/>
    </row>
    <row r="22" spans="2:27" s="595" customFormat="1" ht="15" x14ac:dyDescent="0.3">
      <c r="B22" s="885"/>
      <c r="C22" s="1287"/>
      <c r="D22" s="1287"/>
      <c r="E22" s="1317" t="s">
        <v>1031</v>
      </c>
      <c r="F22" s="1315"/>
      <c r="G22" s="1316"/>
      <c r="H22" s="597" t="s">
        <v>696</v>
      </c>
      <c r="I22" s="592">
        <v>0.6</v>
      </c>
      <c r="J22" s="592" t="s">
        <v>8</v>
      </c>
      <c r="K22" s="803">
        <v>0.6</v>
      </c>
      <c r="L22" s="592" t="s">
        <v>8</v>
      </c>
      <c r="M22" s="805">
        <v>0.1</v>
      </c>
      <c r="N22" s="592" t="s">
        <v>8</v>
      </c>
      <c r="O22" s="805">
        <f>Q17</f>
        <v>49.900000000000006</v>
      </c>
      <c r="P22" s="592" t="s">
        <v>10</v>
      </c>
      <c r="Q22" s="805">
        <f>I22*K22*M22*O22</f>
        <v>1.7964</v>
      </c>
      <c r="R22" s="592" t="s">
        <v>506</v>
      </c>
      <c r="S22" s="808" t="s">
        <v>697</v>
      </c>
      <c r="T22" s="889"/>
      <c r="U22" s="889"/>
      <c r="V22" s="889"/>
      <c r="W22" s="889"/>
      <c r="X22" s="889"/>
      <c r="Y22" s="898"/>
      <c r="AA22" s="600"/>
    </row>
    <row r="23" spans="2:27" s="595" customFormat="1" ht="15" x14ac:dyDescent="0.3">
      <c r="B23" s="885"/>
      <c r="C23" s="1287"/>
      <c r="D23" s="1287"/>
      <c r="E23" s="1317" t="s">
        <v>1032</v>
      </c>
      <c r="F23" s="1315"/>
      <c r="G23" s="1316"/>
      <c r="H23" s="887"/>
      <c r="I23" s="889"/>
      <c r="J23" s="889"/>
      <c r="K23" s="890"/>
      <c r="L23" s="889"/>
      <c r="M23" s="1264"/>
      <c r="N23" s="889"/>
      <c r="O23" s="1264"/>
      <c r="P23" s="889"/>
      <c r="Q23" s="1264"/>
      <c r="R23" s="889"/>
      <c r="S23" s="1282"/>
      <c r="T23" s="889"/>
      <c r="U23" s="889"/>
      <c r="V23" s="889"/>
      <c r="W23" s="889"/>
      <c r="X23" s="889"/>
      <c r="Y23" s="898"/>
      <c r="AA23" s="600"/>
    </row>
    <row r="24" spans="2:27" s="595" customFormat="1" ht="15" x14ac:dyDescent="0.3">
      <c r="B24" s="885"/>
      <c r="C24" s="1287"/>
      <c r="D24" s="1287"/>
      <c r="E24" s="1317" t="s">
        <v>1033</v>
      </c>
      <c r="F24" s="1315"/>
      <c r="G24" s="1316"/>
      <c r="H24" s="887"/>
      <c r="I24" s="889"/>
      <c r="J24" s="889"/>
      <c r="K24" s="890"/>
      <c r="L24" s="889"/>
      <c r="M24" s="1264"/>
      <c r="N24" s="889"/>
      <c r="O24" s="1264"/>
      <c r="P24" s="889"/>
      <c r="Q24" s="1264"/>
      <c r="R24" s="889"/>
      <c r="S24" s="1282"/>
      <c r="T24" s="889"/>
      <c r="U24" s="889"/>
      <c r="V24" s="889"/>
      <c r="W24" s="889"/>
      <c r="X24" s="889"/>
      <c r="Y24" s="898"/>
      <c r="AA24" s="600"/>
    </row>
    <row r="25" spans="2:27" s="595" customFormat="1" ht="15" x14ac:dyDescent="0.3">
      <c r="B25" s="885"/>
      <c r="C25" s="1263"/>
      <c r="D25" s="1263"/>
      <c r="E25" s="1253"/>
      <c r="F25" s="886"/>
      <c r="G25" s="887"/>
      <c r="H25" s="887"/>
      <c r="I25" s="888"/>
      <c r="J25" s="889"/>
      <c r="K25" s="890"/>
      <c r="L25" s="889"/>
      <c r="M25" s="890"/>
      <c r="N25" s="889"/>
      <c r="O25" s="1264"/>
      <c r="P25" s="889"/>
      <c r="Q25" s="891"/>
      <c r="R25" s="889"/>
      <c r="S25" s="889"/>
      <c r="T25" s="889"/>
      <c r="U25" s="889"/>
      <c r="V25" s="889"/>
      <c r="W25" s="889"/>
      <c r="X25" s="889"/>
      <c r="Y25" s="898"/>
      <c r="AA25" s="600"/>
    </row>
    <row r="26" spans="2:27" s="595" customFormat="1" ht="15" x14ac:dyDescent="0.3">
      <c r="B26" s="601"/>
      <c r="C26" s="880"/>
      <c r="D26" s="880"/>
      <c r="E26" s="1252"/>
      <c r="F26" s="789"/>
      <c r="G26" s="807"/>
      <c r="H26" s="597"/>
      <c r="I26" s="790"/>
      <c r="J26" s="592"/>
      <c r="K26" s="803"/>
      <c r="L26" s="592"/>
      <c r="M26" s="820"/>
      <c r="N26" s="592"/>
      <c r="O26" s="805"/>
      <c r="P26" s="592"/>
      <c r="Q26" s="803"/>
      <c r="R26" s="592"/>
      <c r="S26" s="592"/>
      <c r="T26" s="592"/>
      <c r="U26" s="592"/>
      <c r="V26" s="592"/>
      <c r="W26" s="592"/>
      <c r="X26" s="592"/>
      <c r="Y26" s="599"/>
      <c r="AA26" s="600"/>
    </row>
    <row r="27" spans="2:27" s="595" customFormat="1" ht="15" x14ac:dyDescent="0.3">
      <c r="B27" s="816"/>
      <c r="C27" s="817"/>
      <c r="D27" s="817"/>
      <c r="E27" s="818"/>
      <c r="F27" s="819"/>
      <c r="G27" s="823"/>
      <c r="H27" s="823"/>
      <c r="I27" s="824"/>
      <c r="J27" s="821"/>
      <c r="K27" s="825"/>
      <c r="L27" s="821"/>
      <c r="M27" s="825"/>
      <c r="N27" s="821"/>
      <c r="O27" s="826"/>
      <c r="P27" s="821"/>
      <c r="Q27" s="827"/>
      <c r="R27" s="828"/>
      <c r="S27" s="821"/>
      <c r="T27" s="821"/>
      <c r="U27" s="821"/>
      <c r="V27" s="821"/>
      <c r="W27" s="821"/>
      <c r="X27" s="821"/>
      <c r="Y27" s="822"/>
      <c r="AA27" s="600"/>
    </row>
    <row r="28" spans="2:27" s="595" customFormat="1" ht="15" x14ac:dyDescent="0.3">
      <c r="B28" s="1265" t="s">
        <v>701</v>
      </c>
      <c r="C28" s="1266" t="str">
        <f>[2]RAB!E22</f>
        <v xml:space="preserve">PEKERJAAN PONDASI </v>
      </c>
      <c r="D28" s="1266"/>
      <c r="E28" s="1267"/>
      <c r="F28" s="854"/>
      <c r="G28" s="855"/>
      <c r="H28" s="855"/>
      <c r="I28" s="857"/>
      <c r="J28" s="828"/>
      <c r="K28" s="858"/>
      <c r="L28" s="828"/>
      <c r="M28" s="858"/>
      <c r="N28" s="828"/>
      <c r="O28" s="1268"/>
      <c r="P28" s="828"/>
      <c r="Q28" s="828"/>
      <c r="R28" s="1269"/>
      <c r="S28" s="828"/>
      <c r="T28" s="828"/>
      <c r="U28" s="828"/>
      <c r="V28" s="828"/>
      <c r="W28" s="828"/>
      <c r="X28" s="828"/>
      <c r="Y28" s="850"/>
      <c r="AA28" s="600"/>
    </row>
    <row r="29" spans="2:27" s="595" customFormat="1" ht="15" x14ac:dyDescent="0.3">
      <c r="B29" s="601">
        <v>1</v>
      </c>
      <c r="C29" s="880" t="str">
        <f>'[2]Analisa SNI'!F372</f>
        <v>Memasang 1 m3 pondasi batu belah, campuran 1 PC : 4 PP</v>
      </c>
      <c r="D29" s="880"/>
      <c r="E29" s="1252"/>
      <c r="F29" s="789">
        <f>O29</f>
        <v>12.724500000000001</v>
      </c>
      <c r="G29" s="597" t="s">
        <v>506</v>
      </c>
      <c r="H29" s="597" t="s">
        <v>696</v>
      </c>
      <c r="I29" s="790">
        <f>O22</f>
        <v>49.900000000000006</v>
      </c>
      <c r="J29" s="592" t="s">
        <v>8</v>
      </c>
      <c r="K29" s="803">
        <f>(0.6+0.25)/2</f>
        <v>0.42499999999999999</v>
      </c>
      <c r="L29" s="592" t="s">
        <v>8</v>
      </c>
      <c r="M29" s="803">
        <v>0.6</v>
      </c>
      <c r="N29" s="592" t="s">
        <v>10</v>
      </c>
      <c r="O29" s="805">
        <f>I29*K29*M29</f>
        <v>12.724500000000001</v>
      </c>
      <c r="P29" s="592" t="s">
        <v>506</v>
      </c>
      <c r="Q29" s="592"/>
      <c r="R29" s="592"/>
      <c r="S29" s="592"/>
      <c r="T29" s="592"/>
      <c r="U29" s="592"/>
      <c r="V29" s="592"/>
      <c r="W29" s="592"/>
      <c r="X29" s="592"/>
      <c r="Y29" s="599"/>
      <c r="AA29" s="600"/>
    </row>
    <row r="30" spans="2:27" s="595" customFormat="1" ht="15" x14ac:dyDescent="0.3">
      <c r="B30" s="816"/>
      <c r="C30" s="817"/>
      <c r="D30" s="817"/>
      <c r="E30" s="818"/>
      <c r="F30" s="819"/>
      <c r="G30" s="823"/>
      <c r="H30" s="823"/>
      <c r="I30" s="790"/>
      <c r="J30" s="592"/>
      <c r="K30" s="803"/>
      <c r="L30" s="592"/>
      <c r="M30" s="803"/>
      <c r="N30" s="592"/>
      <c r="O30" s="805"/>
      <c r="P30" s="592"/>
      <c r="Q30" s="830"/>
      <c r="R30" s="592"/>
      <c r="S30" s="821"/>
      <c r="T30" s="821"/>
      <c r="U30" s="821"/>
      <c r="V30" s="821"/>
      <c r="W30" s="821"/>
      <c r="X30" s="821"/>
      <c r="Y30" s="822"/>
      <c r="AA30" s="600"/>
    </row>
    <row r="31" spans="2:27" s="595" customFormat="1" ht="15" x14ac:dyDescent="0.3">
      <c r="B31" s="792" t="s">
        <v>701</v>
      </c>
      <c r="C31" s="831" t="str">
        <f>'[2]Analisa SNI'!F532</f>
        <v xml:space="preserve">PEKERJAAN BETON </v>
      </c>
      <c r="D31" s="831"/>
      <c r="E31" s="794"/>
      <c r="F31" s="795"/>
      <c r="G31" s="794"/>
      <c r="H31" s="794"/>
      <c r="I31" s="797"/>
      <c r="J31" s="798"/>
      <c r="K31" s="799"/>
      <c r="L31" s="798"/>
      <c r="M31" s="799"/>
      <c r="N31" s="798"/>
      <c r="O31" s="800"/>
      <c r="P31" s="798"/>
      <c r="Q31" s="798"/>
      <c r="R31" s="798"/>
      <c r="S31" s="798"/>
      <c r="T31" s="798"/>
      <c r="U31" s="798"/>
      <c r="V31" s="798"/>
      <c r="W31" s="798"/>
      <c r="X31" s="798"/>
      <c r="Y31" s="801"/>
      <c r="AA31" s="600"/>
    </row>
    <row r="32" spans="2:27" s="595" customFormat="1" ht="15" customHeight="1" x14ac:dyDescent="0.3">
      <c r="B32" s="601"/>
      <c r="C32" s="1584"/>
      <c r="D32" s="1585"/>
      <c r="E32" s="1586"/>
      <c r="F32" s="789"/>
      <c r="G32" s="597"/>
      <c r="H32" s="597"/>
      <c r="I32" s="790"/>
      <c r="J32" s="592"/>
      <c r="K32" s="803"/>
      <c r="L32" s="592"/>
      <c r="M32" s="803"/>
      <c r="N32" s="592"/>
      <c r="O32" s="805"/>
      <c r="P32" s="592"/>
      <c r="Q32" s="803"/>
      <c r="R32" s="592"/>
      <c r="S32" s="808"/>
      <c r="T32" s="592"/>
      <c r="U32" s="592"/>
      <c r="V32" s="592"/>
      <c r="W32" s="592"/>
      <c r="X32" s="592"/>
      <c r="Y32" s="599"/>
      <c r="AA32" s="600"/>
    </row>
    <row r="33" spans="2:28" s="595" customFormat="1" ht="15" customHeight="1" x14ac:dyDescent="0.3">
      <c r="B33" s="601">
        <v>2</v>
      </c>
      <c r="C33" s="832" t="s">
        <v>754</v>
      </c>
      <c r="D33" s="880"/>
      <c r="E33" s="833"/>
      <c r="F33" s="789">
        <f>SUM(Q33:Q34)</f>
        <v>9.84</v>
      </c>
      <c r="G33" s="597" t="s">
        <v>506</v>
      </c>
      <c r="H33" s="597" t="s">
        <v>700</v>
      </c>
      <c r="I33" s="790">
        <v>12</v>
      </c>
      <c r="J33" s="592" t="s">
        <v>8</v>
      </c>
      <c r="K33" s="803">
        <v>10</v>
      </c>
      <c r="L33" s="592" t="s">
        <v>8</v>
      </c>
      <c r="M33" s="803">
        <v>0.08</v>
      </c>
      <c r="N33" s="592"/>
      <c r="O33" s="805"/>
      <c r="P33" s="592" t="s">
        <v>10</v>
      </c>
      <c r="Q33" s="803">
        <f>I33*K33*M33</f>
        <v>9.6</v>
      </c>
      <c r="R33" s="592" t="s">
        <v>506</v>
      </c>
      <c r="S33" s="808" t="s">
        <v>1012</v>
      </c>
      <c r="T33" s="592"/>
      <c r="U33" s="592"/>
      <c r="V33" s="592"/>
      <c r="W33" s="592"/>
      <c r="X33" s="592"/>
      <c r="Y33" s="599"/>
      <c r="AA33" s="600"/>
    </row>
    <row r="34" spans="2:28" s="595" customFormat="1" ht="15" customHeight="1" x14ac:dyDescent="0.3">
      <c r="B34" s="601"/>
      <c r="C34" s="832"/>
      <c r="D34" s="880"/>
      <c r="E34" s="833"/>
      <c r="F34" s="789"/>
      <c r="G34" s="597"/>
      <c r="H34" s="597"/>
      <c r="I34" s="790">
        <v>3</v>
      </c>
      <c r="J34" s="592" t="s">
        <v>8</v>
      </c>
      <c r="K34" s="803">
        <v>1</v>
      </c>
      <c r="L34" s="592" t="s">
        <v>8</v>
      </c>
      <c r="M34" s="803">
        <f>M33</f>
        <v>0.08</v>
      </c>
      <c r="N34" s="592"/>
      <c r="O34" s="805"/>
      <c r="P34" s="592" t="s">
        <v>10</v>
      </c>
      <c r="Q34" s="803">
        <f>I34*K34*M34</f>
        <v>0.24</v>
      </c>
      <c r="R34" s="592" t="s">
        <v>1013</v>
      </c>
      <c r="S34" s="808" t="s">
        <v>1012</v>
      </c>
      <c r="T34" s="592"/>
      <c r="U34" s="592"/>
      <c r="V34" s="592"/>
      <c r="W34" s="592"/>
      <c r="X34" s="592"/>
      <c r="Y34" s="599"/>
      <c r="AA34" s="600"/>
    </row>
    <row r="35" spans="2:28" s="595" customFormat="1" ht="15" customHeight="1" x14ac:dyDescent="0.3">
      <c r="B35" s="601">
        <v>3</v>
      </c>
      <c r="C35" s="877" t="s">
        <v>702</v>
      </c>
      <c r="D35" s="838"/>
      <c r="E35" s="1261"/>
      <c r="F35" s="789">
        <f>O40</f>
        <v>1.5562500000000001</v>
      </c>
      <c r="G35" s="597" t="s">
        <v>506</v>
      </c>
      <c r="H35" s="591" t="s">
        <v>703</v>
      </c>
      <c r="I35" s="790">
        <f>0.2*0.2</f>
        <v>4.0000000000000008E-2</v>
      </c>
      <c r="J35" s="592" t="s">
        <v>8</v>
      </c>
      <c r="K35" s="803">
        <v>3.75</v>
      </c>
      <c r="L35" s="592" t="s">
        <v>8</v>
      </c>
      <c r="M35" s="592">
        <v>7</v>
      </c>
      <c r="N35" s="592" t="s">
        <v>10</v>
      </c>
      <c r="O35" s="593">
        <f>(I35*K35*M35)</f>
        <v>1.0500000000000003</v>
      </c>
      <c r="P35" s="592" t="s">
        <v>506</v>
      </c>
      <c r="Q35" s="808" t="s">
        <v>704</v>
      </c>
      <c r="R35" s="592"/>
      <c r="S35" s="592"/>
      <c r="T35" s="592"/>
      <c r="U35" s="592"/>
      <c r="V35" s="592"/>
      <c r="W35" s="592"/>
      <c r="X35" s="592"/>
      <c r="Y35" s="599"/>
      <c r="AA35" s="834" t="e">
        <f>#REF!+M20+M44+M32</f>
        <v>#REF!</v>
      </c>
    </row>
    <row r="36" spans="2:28" s="595" customFormat="1" ht="15" customHeight="1" x14ac:dyDescent="0.3">
      <c r="B36" s="601"/>
      <c r="C36" s="1260"/>
      <c r="D36" s="1262"/>
      <c r="E36" s="1261"/>
      <c r="F36" s="789"/>
      <c r="G36" s="597"/>
      <c r="H36" s="591"/>
      <c r="I36" s="790">
        <f>0.15*0.15</f>
        <v>2.2499999999999999E-2</v>
      </c>
      <c r="J36" s="592" t="s">
        <v>8</v>
      </c>
      <c r="K36" s="803">
        <v>3.75</v>
      </c>
      <c r="L36" s="592" t="s">
        <v>8</v>
      </c>
      <c r="M36" s="592">
        <v>2</v>
      </c>
      <c r="N36" s="592" t="s">
        <v>10</v>
      </c>
      <c r="O36" s="593">
        <f>(I36*K36*M36)</f>
        <v>0.16874999999999998</v>
      </c>
      <c r="P36" s="592" t="s">
        <v>506</v>
      </c>
      <c r="Q36" s="808" t="s">
        <v>705</v>
      </c>
      <c r="R36" s="592"/>
      <c r="S36" s="592"/>
      <c r="T36" s="592"/>
      <c r="U36" s="592"/>
      <c r="V36" s="592"/>
      <c r="W36" s="592"/>
      <c r="X36" s="592"/>
      <c r="Y36" s="599"/>
      <c r="AA36" s="834"/>
    </row>
    <row r="37" spans="2:28" s="595" customFormat="1" ht="15" customHeight="1" x14ac:dyDescent="0.3">
      <c r="B37" s="601"/>
      <c r="C37" s="1260"/>
      <c r="D37" s="1262"/>
      <c r="E37" s="1261"/>
      <c r="F37" s="789"/>
      <c r="G37" s="597"/>
      <c r="H37" s="591"/>
      <c r="I37" s="790">
        <f>0.15*0.15</f>
        <v>2.2499999999999999E-2</v>
      </c>
      <c r="J37" s="592" t="s">
        <v>8</v>
      </c>
      <c r="K37" s="803">
        <v>3.75</v>
      </c>
      <c r="L37" s="592" t="s">
        <v>8</v>
      </c>
      <c r="M37" s="592">
        <v>4</v>
      </c>
      <c r="N37" s="592" t="s">
        <v>10</v>
      </c>
      <c r="O37" s="593">
        <f>(I37*K37*M37)</f>
        <v>0.33749999999999997</v>
      </c>
      <c r="P37" s="592" t="s">
        <v>506</v>
      </c>
      <c r="Q37" s="808" t="s">
        <v>706</v>
      </c>
      <c r="R37" s="592"/>
      <c r="S37" s="592"/>
      <c r="T37" s="592"/>
      <c r="U37" s="592"/>
      <c r="V37" s="592"/>
      <c r="W37" s="592"/>
      <c r="X37" s="592"/>
      <c r="Y37" s="599"/>
      <c r="AA37" s="834"/>
    </row>
    <row r="38" spans="2:28" s="595" customFormat="1" ht="15" customHeight="1" x14ac:dyDescent="0.3">
      <c r="B38" s="601"/>
      <c r="C38" s="1260"/>
      <c r="D38" s="1262"/>
      <c r="E38" s="1261"/>
      <c r="F38" s="789"/>
      <c r="G38" s="597"/>
      <c r="H38" s="591"/>
      <c r="I38" s="790"/>
      <c r="J38" s="592"/>
      <c r="K38" s="803"/>
      <c r="L38" s="592"/>
      <c r="M38" s="592"/>
      <c r="N38" s="592"/>
      <c r="O38" s="593"/>
      <c r="P38" s="592"/>
      <c r="Q38" s="808"/>
      <c r="R38" s="786"/>
      <c r="S38" s="786"/>
      <c r="T38" s="786"/>
      <c r="U38" s="786"/>
      <c r="V38" s="786"/>
      <c r="W38" s="786"/>
      <c r="X38" s="592"/>
      <c r="Y38" s="599"/>
      <c r="AA38" s="834"/>
    </row>
    <row r="39" spans="2:28" s="595" customFormat="1" ht="15" customHeight="1" x14ac:dyDescent="0.3">
      <c r="B39" s="601"/>
      <c r="C39" s="1260"/>
      <c r="D39" s="1262"/>
      <c r="E39" s="1261"/>
      <c r="F39" s="835"/>
      <c r="G39" s="597"/>
      <c r="H39" s="591" t="s">
        <v>703</v>
      </c>
      <c r="I39" s="790">
        <f>0.55*0.7</f>
        <v>0.38500000000000001</v>
      </c>
      <c r="J39" s="592" t="s">
        <v>8</v>
      </c>
      <c r="K39" s="803">
        <v>0.2</v>
      </c>
      <c r="L39" s="592" t="s">
        <v>8</v>
      </c>
      <c r="M39" s="592">
        <f>M38</f>
        <v>0</v>
      </c>
      <c r="N39" s="592" t="s">
        <v>10</v>
      </c>
      <c r="O39" s="593">
        <f>(I39*K39*M39)</f>
        <v>0</v>
      </c>
      <c r="P39" s="592" t="s">
        <v>506</v>
      </c>
      <c r="Q39" s="808" t="s">
        <v>707</v>
      </c>
      <c r="R39" s="592"/>
      <c r="S39" s="592"/>
      <c r="T39" s="592"/>
      <c r="U39" s="592"/>
      <c r="V39" s="592"/>
      <c r="W39" s="592"/>
      <c r="X39" s="592"/>
      <c r="Y39" s="599"/>
      <c r="AA39" s="834"/>
    </row>
    <row r="40" spans="2:28" s="595" customFormat="1" ht="15" customHeight="1" x14ac:dyDescent="0.3">
      <c r="B40" s="601"/>
      <c r="C40" s="836"/>
      <c r="D40" s="836"/>
      <c r="E40" s="837"/>
      <c r="F40" s="835"/>
      <c r="G40" s="597"/>
      <c r="H40" s="591"/>
      <c r="I40" s="790"/>
      <c r="J40" s="592"/>
      <c r="K40" s="803"/>
      <c r="L40" s="592"/>
      <c r="M40" s="592"/>
      <c r="N40" s="592"/>
      <c r="O40" s="593">
        <f>SUM(O35:O39)</f>
        <v>1.5562500000000001</v>
      </c>
      <c r="P40" s="592" t="s">
        <v>506</v>
      </c>
      <c r="Q40" s="808"/>
      <c r="R40" s="592"/>
      <c r="S40" s="592"/>
      <c r="T40" s="592"/>
      <c r="U40" s="592"/>
      <c r="V40" s="592"/>
      <c r="W40" s="592"/>
      <c r="X40" s="592"/>
      <c r="Y40" s="599"/>
      <c r="AA40" s="834"/>
    </row>
    <row r="41" spans="2:28" s="595" customFormat="1" ht="15" customHeight="1" x14ac:dyDescent="0.3">
      <c r="B41" s="601">
        <v>3</v>
      </c>
      <c r="C41" s="838" t="s">
        <v>1036</v>
      </c>
      <c r="D41" s="838"/>
      <c r="E41" s="807"/>
      <c r="F41" s="789">
        <f>O43</f>
        <v>1.4970000000000001</v>
      </c>
      <c r="G41" s="597" t="s">
        <v>506</v>
      </c>
      <c r="H41" s="597" t="s">
        <v>696</v>
      </c>
      <c r="I41" s="790">
        <f>O22</f>
        <v>49.900000000000006</v>
      </c>
      <c r="J41" s="592" t="s">
        <v>8</v>
      </c>
      <c r="K41" s="803">
        <v>0.15</v>
      </c>
      <c r="L41" s="592" t="s">
        <v>8</v>
      </c>
      <c r="M41" s="592">
        <v>0.2</v>
      </c>
      <c r="N41" s="592" t="s">
        <v>10</v>
      </c>
      <c r="O41" s="805">
        <f>I41*K41*M41</f>
        <v>1.4970000000000001</v>
      </c>
      <c r="P41" s="592" t="s">
        <v>506</v>
      </c>
      <c r="Q41" s="592"/>
      <c r="R41" s="592"/>
      <c r="S41" s="592"/>
      <c r="T41" s="592"/>
      <c r="U41" s="592"/>
      <c r="V41" s="592"/>
      <c r="W41" s="592"/>
      <c r="X41" s="592"/>
      <c r="Y41" s="599"/>
      <c r="AA41" s="600"/>
    </row>
    <row r="42" spans="2:28" s="595" customFormat="1" ht="15" customHeight="1" x14ac:dyDescent="0.3">
      <c r="B42" s="601"/>
      <c r="C42" s="838"/>
      <c r="D42" s="838"/>
      <c r="E42" s="807"/>
      <c r="F42" s="789"/>
      <c r="G42" s="597"/>
      <c r="H42" s="597"/>
      <c r="I42" s="790"/>
      <c r="J42" s="592"/>
      <c r="K42" s="803"/>
      <c r="L42" s="592"/>
      <c r="M42" s="803"/>
      <c r="N42" s="592"/>
      <c r="O42" s="814"/>
      <c r="P42" s="592"/>
      <c r="Q42" s="592"/>
      <c r="R42" s="592"/>
      <c r="S42" s="592"/>
      <c r="T42" s="592"/>
      <c r="U42" s="592"/>
      <c r="V42" s="592"/>
      <c r="W42" s="592"/>
      <c r="X42" s="592"/>
      <c r="Y42" s="599"/>
      <c r="AA42" s="600"/>
    </row>
    <row r="43" spans="2:28" s="595" customFormat="1" ht="15" customHeight="1" x14ac:dyDescent="0.3">
      <c r="B43" s="601"/>
      <c r="C43" s="838"/>
      <c r="D43" s="838"/>
      <c r="E43" s="807"/>
      <c r="F43" s="789"/>
      <c r="G43" s="597"/>
      <c r="H43" s="597"/>
      <c r="I43" s="790"/>
      <c r="J43" s="592"/>
      <c r="K43" s="803"/>
      <c r="L43" s="592"/>
      <c r="M43" s="803"/>
      <c r="N43" s="592"/>
      <c r="O43" s="839">
        <f>SUM(O41:O42)</f>
        <v>1.4970000000000001</v>
      </c>
      <c r="P43" s="592" t="s">
        <v>506</v>
      </c>
      <c r="Q43" s="592"/>
      <c r="R43" s="592"/>
      <c r="S43" s="592"/>
      <c r="T43" s="592"/>
      <c r="U43" s="592"/>
      <c r="V43" s="592"/>
      <c r="W43" s="592"/>
      <c r="X43" s="592"/>
      <c r="Y43" s="599"/>
      <c r="AA43" s="600"/>
    </row>
    <row r="44" spans="2:28" s="595" customFormat="1" ht="15" customHeight="1" x14ac:dyDescent="0.3">
      <c r="B44" s="601">
        <v>4</v>
      </c>
      <c r="C44" s="1584" t="s">
        <v>708</v>
      </c>
      <c r="D44" s="1585"/>
      <c r="E44" s="1586"/>
      <c r="F44" s="789">
        <f>O44</f>
        <v>2.4950000000000006</v>
      </c>
      <c r="G44" s="597" t="s">
        <v>506</v>
      </c>
      <c r="H44" s="597" t="s">
        <v>696</v>
      </c>
      <c r="I44" s="790">
        <f>I41</f>
        <v>49.900000000000006</v>
      </c>
      <c r="J44" s="592" t="s">
        <v>8</v>
      </c>
      <c r="K44" s="803">
        <v>0.25</v>
      </c>
      <c r="L44" s="592" t="s">
        <v>8</v>
      </c>
      <c r="M44" s="803">
        <v>0.2</v>
      </c>
      <c r="N44" s="592" t="s">
        <v>10</v>
      </c>
      <c r="O44" s="805">
        <f>I44*K44*M44</f>
        <v>2.4950000000000006</v>
      </c>
      <c r="P44" s="592" t="s">
        <v>506</v>
      </c>
      <c r="Q44" s="592"/>
      <c r="R44" s="592"/>
      <c r="S44" s="592"/>
      <c r="T44" s="592"/>
      <c r="U44" s="592"/>
      <c r="V44" s="592"/>
      <c r="W44" s="592"/>
      <c r="X44" s="592"/>
      <c r="Y44" s="599"/>
      <c r="AA44" s="600"/>
    </row>
    <row r="45" spans="2:28" s="595" customFormat="1" ht="15" customHeight="1" x14ac:dyDescent="0.3">
      <c r="B45" s="605"/>
      <c r="C45" s="1602"/>
      <c r="D45" s="1603"/>
      <c r="E45" s="1604"/>
      <c r="F45" s="811"/>
      <c r="G45" s="608"/>
      <c r="H45" s="608"/>
      <c r="I45" s="812"/>
      <c r="J45" s="611"/>
      <c r="K45" s="813"/>
      <c r="L45" s="611"/>
      <c r="M45" s="813"/>
      <c r="N45" s="611"/>
      <c r="O45" s="814"/>
      <c r="P45" s="611"/>
      <c r="Q45" s="611"/>
      <c r="R45" s="611"/>
      <c r="S45" s="611"/>
      <c r="T45" s="611"/>
      <c r="U45" s="611"/>
      <c r="V45" s="611"/>
      <c r="W45" s="611"/>
      <c r="X45" s="611"/>
      <c r="Y45" s="613"/>
      <c r="AA45" s="600"/>
    </row>
    <row r="46" spans="2:28" s="595" customFormat="1" ht="15" x14ac:dyDescent="0.3">
      <c r="B46" s="792" t="s">
        <v>709</v>
      </c>
      <c r="C46" s="793" t="str">
        <f>'[2]Analisa SNI'!F1238</f>
        <v xml:space="preserve">PEKERJAAN DINDING </v>
      </c>
      <c r="D46" s="793"/>
      <c r="E46" s="794"/>
      <c r="F46" s="840"/>
      <c r="G46" s="794"/>
      <c r="H46" s="794"/>
      <c r="I46" s="841"/>
      <c r="J46" s="798"/>
      <c r="K46" s="798"/>
      <c r="L46" s="798"/>
      <c r="M46" s="798"/>
      <c r="N46" s="798"/>
      <c r="O46" s="842"/>
      <c r="P46" s="798"/>
      <c r="Q46" s="798"/>
      <c r="R46" s="798"/>
      <c r="S46" s="798"/>
      <c r="T46" s="798"/>
      <c r="U46" s="798"/>
      <c r="V46" s="798"/>
      <c r="W46" s="798"/>
      <c r="X46" s="798"/>
      <c r="Y46" s="801"/>
      <c r="AA46" s="600"/>
    </row>
    <row r="47" spans="2:28" s="595" customFormat="1" ht="31.5" customHeight="1" x14ac:dyDescent="0.3">
      <c r="B47" s="816">
        <v>1</v>
      </c>
      <c r="C47" s="1592" t="s">
        <v>1037</v>
      </c>
      <c r="D47" s="1593"/>
      <c r="E47" s="1594"/>
      <c r="F47" s="819">
        <f>Q47</f>
        <v>8.7600000000000016</v>
      </c>
      <c r="G47" s="823" t="s">
        <v>309</v>
      </c>
      <c r="H47" s="843" t="s">
        <v>710</v>
      </c>
      <c r="I47" s="824">
        <f>I44</f>
        <v>49.900000000000006</v>
      </c>
      <c r="J47" s="821" t="s">
        <v>8</v>
      </c>
      <c r="K47" s="825">
        <v>0.2</v>
      </c>
      <c r="L47" s="821" t="s">
        <v>694</v>
      </c>
      <c r="M47" s="825">
        <f>6.1*0.2</f>
        <v>1.22</v>
      </c>
      <c r="N47" s="821"/>
      <c r="O47" s="844"/>
      <c r="P47" s="821" t="s">
        <v>10</v>
      </c>
      <c r="Q47" s="827">
        <f>(I47*K47)-(M47+O47)</f>
        <v>8.7600000000000016</v>
      </c>
      <c r="R47" s="821" t="s">
        <v>309</v>
      </c>
      <c r="S47" s="845" t="s">
        <v>711</v>
      </c>
      <c r="T47" s="821"/>
      <c r="U47" s="821"/>
      <c r="V47" s="821"/>
      <c r="W47" s="821"/>
      <c r="X47" s="821"/>
      <c r="Y47" s="822"/>
      <c r="Z47" s="595">
        <f>20.4*9.88</f>
        <v>201.55199999999999</v>
      </c>
      <c r="AA47" s="600">
        <v>330</v>
      </c>
      <c r="AB47" s="595" t="s">
        <v>712</v>
      </c>
    </row>
    <row r="48" spans="2:28" s="595" customFormat="1" ht="30" customHeight="1" x14ac:dyDescent="0.3">
      <c r="B48" s="846">
        <v>2</v>
      </c>
      <c r="C48" s="1592" t="s">
        <v>1038</v>
      </c>
      <c r="D48" s="1593"/>
      <c r="E48" s="1594"/>
      <c r="F48" s="795">
        <f>Q48</f>
        <v>152.21000000000004</v>
      </c>
      <c r="G48" s="794" t="s">
        <v>309</v>
      </c>
      <c r="H48" s="847" t="s">
        <v>1039</v>
      </c>
      <c r="I48" s="797">
        <f>I47</f>
        <v>49.900000000000006</v>
      </c>
      <c r="J48" s="798" t="s">
        <v>8</v>
      </c>
      <c r="K48" s="799">
        <f>3.7-K47</f>
        <v>3.5</v>
      </c>
      <c r="L48" s="798" t="s">
        <v>694</v>
      </c>
      <c r="M48" s="799">
        <f>(2.2*3.5*2)+0.9*2.1+0.7*2.1+0.6*0.4</f>
        <v>19</v>
      </c>
      <c r="N48" s="798" t="s">
        <v>693</v>
      </c>
      <c r="O48" s="800">
        <f>((1.8*1.6+0.2*2.8))</f>
        <v>3.4400000000000004</v>
      </c>
      <c r="P48" s="798" t="s">
        <v>10</v>
      </c>
      <c r="Q48" s="848">
        <f>(I48*K48)-(M48+O48)</f>
        <v>152.21000000000004</v>
      </c>
      <c r="R48" s="798" t="s">
        <v>309</v>
      </c>
      <c r="S48" s="849" t="s">
        <v>713</v>
      </c>
      <c r="T48" s="798"/>
      <c r="U48" s="1269"/>
      <c r="V48" s="828"/>
      <c r="W48" s="828"/>
      <c r="X48" s="828"/>
      <c r="Y48" s="850"/>
      <c r="AA48" s="600"/>
    </row>
    <row r="49" spans="2:29" s="595" customFormat="1" ht="15" x14ac:dyDescent="0.3">
      <c r="B49" s="601">
        <v>3</v>
      </c>
      <c r="C49" s="1592" t="s">
        <v>1078</v>
      </c>
      <c r="D49" s="1593"/>
      <c r="E49" s="1596"/>
      <c r="F49" s="789">
        <f>M54</f>
        <v>8.1980000000000022</v>
      </c>
      <c r="G49" s="903" t="s">
        <v>309</v>
      </c>
      <c r="H49" s="591"/>
      <c r="I49" s="790">
        <v>1.6</v>
      </c>
      <c r="J49" s="592" t="s">
        <v>8</v>
      </c>
      <c r="K49" s="803">
        <v>1.6</v>
      </c>
      <c r="L49" s="592" t="s">
        <v>10</v>
      </c>
      <c r="M49" s="803">
        <f>I49*K49</f>
        <v>2.5600000000000005</v>
      </c>
      <c r="N49" s="592"/>
      <c r="O49" s="804"/>
      <c r="P49" s="592"/>
      <c r="Q49" s="830"/>
      <c r="R49" s="592"/>
      <c r="S49" s="808"/>
      <c r="T49" s="592"/>
      <c r="U49" s="592"/>
      <c r="V49" s="592"/>
      <c r="W49" s="592"/>
      <c r="X49" s="592"/>
      <c r="Y49" s="599"/>
      <c r="AA49" s="600"/>
    </row>
    <row r="50" spans="2:29" s="595" customFormat="1" ht="15" x14ac:dyDescent="0.3">
      <c r="B50" s="846"/>
      <c r="C50" s="1353"/>
      <c r="D50" s="1354"/>
      <c r="E50" s="1355"/>
      <c r="F50" s="886"/>
      <c r="G50" s="887"/>
      <c r="H50" s="1352"/>
      <c r="I50" s="888">
        <v>1.6</v>
      </c>
      <c r="J50" s="889" t="s">
        <v>8</v>
      </c>
      <c r="K50" s="890">
        <v>1.8</v>
      </c>
      <c r="L50" s="889" t="s">
        <v>10</v>
      </c>
      <c r="M50" s="890">
        <f>I50*K50</f>
        <v>2.8800000000000003</v>
      </c>
      <c r="N50" s="889"/>
      <c r="O50" s="1318"/>
      <c r="P50" s="889"/>
      <c r="Q50" s="891"/>
      <c r="R50" s="889"/>
      <c r="S50" s="1282"/>
      <c r="T50" s="889"/>
      <c r="U50" s="889"/>
      <c r="V50" s="889"/>
      <c r="W50" s="889"/>
      <c r="X50" s="889"/>
      <c r="Y50" s="898"/>
      <c r="AA50" s="600"/>
    </row>
    <row r="51" spans="2:29" s="595" customFormat="1" ht="15" x14ac:dyDescent="0.3">
      <c r="B51" s="601"/>
      <c r="C51" s="1592"/>
      <c r="D51" s="1593"/>
      <c r="E51" s="1594"/>
      <c r="F51" s="789"/>
      <c r="G51" s="597"/>
      <c r="H51" s="591"/>
      <c r="I51" s="790">
        <v>0.2</v>
      </c>
      <c r="J51" s="592" t="s">
        <v>8</v>
      </c>
      <c r="K51" s="803">
        <v>4.2</v>
      </c>
      <c r="L51" s="592" t="s">
        <v>10</v>
      </c>
      <c r="M51" s="803">
        <f>I51*K51</f>
        <v>0.84000000000000008</v>
      </c>
      <c r="N51" s="592"/>
      <c r="O51" s="804"/>
      <c r="P51" s="592"/>
      <c r="Q51" s="830"/>
      <c r="R51" s="592"/>
      <c r="S51" s="808"/>
      <c r="T51" s="592"/>
      <c r="U51" s="592"/>
      <c r="V51" s="592"/>
      <c r="W51" s="592"/>
      <c r="X51" s="592"/>
      <c r="Y51" s="599"/>
      <c r="AA51" s="600"/>
    </row>
    <row r="52" spans="2:29" s="595" customFormat="1" ht="15" x14ac:dyDescent="0.3">
      <c r="B52" s="601"/>
      <c r="C52" s="1288"/>
      <c r="D52" s="1289"/>
      <c r="E52" s="1290"/>
      <c r="F52" s="789"/>
      <c r="G52" s="597"/>
      <c r="H52" s="591"/>
      <c r="I52" s="790">
        <v>0.2</v>
      </c>
      <c r="J52" s="592" t="s">
        <v>8</v>
      </c>
      <c r="K52" s="803">
        <v>5.59</v>
      </c>
      <c r="L52" s="592" t="s">
        <v>10</v>
      </c>
      <c r="M52" s="803">
        <f>I52*K52</f>
        <v>1.1180000000000001</v>
      </c>
      <c r="N52" s="592"/>
      <c r="O52" s="804"/>
      <c r="P52" s="592"/>
      <c r="Q52" s="830"/>
      <c r="R52" s="592"/>
      <c r="S52" s="808"/>
      <c r="T52" s="592"/>
      <c r="U52" s="592"/>
      <c r="V52" s="592"/>
      <c r="W52" s="592"/>
      <c r="X52" s="592"/>
      <c r="Y52" s="599"/>
      <c r="AA52" s="600"/>
    </row>
    <row r="53" spans="2:29" s="595" customFormat="1" ht="15" x14ac:dyDescent="0.3">
      <c r="B53" s="601"/>
      <c r="C53" s="1289"/>
      <c r="D53" s="1289"/>
      <c r="E53" s="1290"/>
      <c r="F53" s="789"/>
      <c r="G53" s="597"/>
      <c r="H53" s="591"/>
      <c r="I53" s="790">
        <v>0.2</v>
      </c>
      <c r="J53" s="592" t="s">
        <v>8</v>
      </c>
      <c r="K53" s="803">
        <v>4</v>
      </c>
      <c r="L53" s="592" t="s">
        <v>10</v>
      </c>
      <c r="M53" s="813">
        <f>I53*K53</f>
        <v>0.8</v>
      </c>
      <c r="N53" s="592"/>
      <c r="O53" s="804"/>
      <c r="P53" s="592"/>
      <c r="Q53" s="830"/>
      <c r="R53" s="592"/>
      <c r="S53" s="808"/>
      <c r="T53" s="592"/>
      <c r="U53" s="592"/>
      <c r="V53" s="592"/>
      <c r="W53" s="592"/>
      <c r="X53" s="592"/>
      <c r="Y53" s="599"/>
      <c r="AA53" s="600"/>
    </row>
    <row r="54" spans="2:29" s="595" customFormat="1" ht="15" x14ac:dyDescent="0.3">
      <c r="B54" s="601"/>
      <c r="C54" s="1289"/>
      <c r="D54" s="1289"/>
      <c r="E54" s="1290"/>
      <c r="F54" s="789"/>
      <c r="G54" s="597"/>
      <c r="H54" s="591"/>
      <c r="I54" s="790"/>
      <c r="J54" s="592"/>
      <c r="K54" s="803"/>
      <c r="L54" s="592"/>
      <c r="M54" s="881">
        <f>SUM(M49:M53)</f>
        <v>8.1980000000000022</v>
      </c>
      <c r="N54" s="798" t="s">
        <v>309</v>
      </c>
      <c r="O54" s="804"/>
      <c r="P54" s="592"/>
      <c r="Q54" s="830"/>
      <c r="R54" s="592"/>
      <c r="S54" s="808"/>
      <c r="T54" s="592"/>
      <c r="U54" s="592"/>
      <c r="V54" s="592"/>
      <c r="W54" s="592"/>
      <c r="X54" s="592"/>
      <c r="Y54" s="599"/>
      <c r="AA54" s="600"/>
    </row>
    <row r="55" spans="2:29" s="595" customFormat="1" ht="15" x14ac:dyDescent="0.3">
      <c r="B55" s="846"/>
      <c r="C55" s="852"/>
      <c r="D55" s="852"/>
      <c r="E55" s="853"/>
      <c r="F55" s="854"/>
      <c r="G55" s="855"/>
      <c r="H55" s="856"/>
      <c r="I55" s="857"/>
      <c r="J55" s="828"/>
      <c r="K55" s="858"/>
      <c r="L55" s="851"/>
      <c r="M55" s="881"/>
      <c r="N55" s="828"/>
      <c r="O55" s="859"/>
      <c r="P55" s="828"/>
      <c r="Q55" s="860"/>
      <c r="R55" s="828"/>
      <c r="S55" s="861"/>
      <c r="T55" s="828"/>
      <c r="U55" s="828"/>
      <c r="V55" s="828"/>
      <c r="W55" s="828"/>
      <c r="X55" s="828"/>
      <c r="Y55" s="850"/>
      <c r="AA55" s="600"/>
    </row>
    <row r="56" spans="2:29" s="595" customFormat="1" ht="15" customHeight="1" x14ac:dyDescent="0.3">
      <c r="B56" s="792" t="s">
        <v>680</v>
      </c>
      <c r="C56" s="793" t="s">
        <v>714</v>
      </c>
      <c r="D56" s="793"/>
      <c r="E56" s="862"/>
      <c r="F56" s="863"/>
      <c r="G56" s="794"/>
      <c r="H56" s="847"/>
      <c r="I56" s="797"/>
      <c r="J56" s="798"/>
      <c r="K56" s="799"/>
      <c r="L56" s="798"/>
      <c r="M56" s="799"/>
      <c r="N56" s="798"/>
      <c r="O56" s="800"/>
      <c r="P56" s="798"/>
      <c r="Q56" s="798"/>
      <c r="R56" s="798"/>
      <c r="S56" s="798"/>
      <c r="T56" s="798"/>
      <c r="U56" s="798"/>
      <c r="V56" s="798"/>
      <c r="W56" s="798"/>
      <c r="X56" s="798"/>
      <c r="Y56" s="801"/>
      <c r="Z56" s="595">
        <f>34.95*6.8</f>
        <v>237.66000000000003</v>
      </c>
      <c r="AA56" s="600">
        <f>AA47-Z56</f>
        <v>92.339999999999975</v>
      </c>
      <c r="AB56" s="595" t="s">
        <v>715</v>
      </c>
    </row>
    <row r="57" spans="2:29" s="595" customFormat="1" ht="15" x14ac:dyDescent="0.3">
      <c r="B57" s="601">
        <v>1</v>
      </c>
      <c r="C57" s="864" t="str">
        <f>'[2]Analisa SNI'!$F$1681</f>
        <v xml:space="preserve">Mengecat 1 m2 Dinding </v>
      </c>
      <c r="D57" s="864"/>
      <c r="E57" s="864" t="str">
        <f>'[2]Analisa SNI'!$F$1681</f>
        <v xml:space="preserve">Mengecat 1 m2 Dinding </v>
      </c>
      <c r="F57" s="789">
        <f>I58+O64</f>
        <v>321.94000000000005</v>
      </c>
      <c r="G57" s="597" t="s">
        <v>309</v>
      </c>
      <c r="H57" s="591" t="s">
        <v>716</v>
      </c>
      <c r="I57" s="790">
        <f>M66+M67</f>
        <v>321.94000000000005</v>
      </c>
      <c r="J57" s="604" t="s">
        <v>309</v>
      </c>
      <c r="K57" s="803"/>
      <c r="L57" s="592"/>
      <c r="M57" s="803"/>
      <c r="N57" s="592"/>
      <c r="O57" s="804"/>
      <c r="P57" s="592"/>
      <c r="Q57" s="830"/>
      <c r="R57" s="592"/>
      <c r="S57" s="592"/>
      <c r="T57" s="808"/>
      <c r="U57" s="808"/>
      <c r="V57" s="808"/>
      <c r="W57" s="808"/>
      <c r="X57" s="808"/>
      <c r="Y57" s="599"/>
      <c r="AA57" s="865" t="e">
        <f>((40.8+6.88+4+3)*3.5)*2-#REF!</f>
        <v>#REF!</v>
      </c>
      <c r="AC57" s="866">
        <f>M57+O57</f>
        <v>0</v>
      </c>
    </row>
    <row r="58" spans="2:29" s="595" customFormat="1" ht="15" x14ac:dyDescent="0.3">
      <c r="B58" s="601"/>
      <c r="C58" s="864"/>
      <c r="D58" s="864"/>
      <c r="E58" s="864"/>
      <c r="F58" s="835"/>
      <c r="G58" s="597"/>
      <c r="H58" s="591"/>
      <c r="I58" s="867">
        <f>SUM(I57:I57)</f>
        <v>321.94000000000005</v>
      </c>
      <c r="J58" s="870" t="s">
        <v>309</v>
      </c>
      <c r="K58" s="868" t="s">
        <v>717</v>
      </c>
      <c r="L58" s="592"/>
      <c r="M58" s="803"/>
      <c r="N58" s="592"/>
      <c r="O58" s="804"/>
      <c r="P58" s="592"/>
      <c r="Q58" s="830"/>
      <c r="R58" s="592"/>
      <c r="S58" s="592"/>
      <c r="T58" s="808"/>
      <c r="U58" s="808"/>
      <c r="V58" s="808"/>
      <c r="W58" s="808"/>
      <c r="X58" s="808"/>
      <c r="Y58" s="599"/>
      <c r="AA58" s="865"/>
      <c r="AC58" s="866"/>
    </row>
    <row r="59" spans="2:29" s="595" customFormat="1" ht="15" x14ac:dyDescent="0.3">
      <c r="B59" s="601"/>
      <c r="C59" s="864"/>
      <c r="D59" s="864"/>
      <c r="E59" s="864"/>
      <c r="F59" s="835"/>
      <c r="G59" s="597"/>
      <c r="H59" s="591"/>
      <c r="I59" s="869"/>
      <c r="J59" s="870"/>
      <c r="K59" s="868"/>
      <c r="L59" s="592"/>
      <c r="M59" s="803"/>
      <c r="N59" s="592"/>
      <c r="O59" s="804"/>
      <c r="P59" s="592"/>
      <c r="Q59" s="803"/>
      <c r="R59" s="592"/>
      <c r="S59" s="592"/>
      <c r="T59" s="808"/>
      <c r="U59" s="808"/>
      <c r="V59" s="808"/>
      <c r="W59" s="808"/>
      <c r="X59" s="808"/>
      <c r="Y59" s="599"/>
      <c r="AA59" s="865"/>
      <c r="AC59" s="866"/>
    </row>
    <row r="60" spans="2:29" s="595" customFormat="1" ht="15" customHeight="1" x14ac:dyDescent="0.3">
      <c r="B60" s="601"/>
      <c r="C60" s="864" t="s">
        <v>1255</v>
      </c>
      <c r="D60" s="864"/>
      <c r="E60" s="864"/>
      <c r="F60" s="835">
        <f>SUM(M60:M63)</f>
        <v>12.1904</v>
      </c>
      <c r="G60" s="597" t="s">
        <v>309</v>
      </c>
      <c r="H60" s="591"/>
      <c r="I60" s="869">
        <f>I70</f>
        <v>5.4</v>
      </c>
      <c r="J60" s="870" t="s">
        <v>8</v>
      </c>
      <c r="K60" s="868">
        <f>K70</f>
        <v>0.12</v>
      </c>
      <c r="L60" s="592" t="s">
        <v>10</v>
      </c>
      <c r="M60" s="803">
        <f>I60*K60</f>
        <v>0.64800000000000002</v>
      </c>
      <c r="N60" s="592"/>
      <c r="O60" s="1318"/>
      <c r="P60" s="889"/>
      <c r="Q60" s="803"/>
      <c r="R60" s="592"/>
      <c r="S60" s="593"/>
      <c r="T60" s="592"/>
      <c r="U60" s="592"/>
      <c r="V60" s="592"/>
      <c r="W60" s="592"/>
      <c r="X60" s="592"/>
      <c r="Y60" s="599"/>
      <c r="Z60" s="861"/>
      <c r="AA60" s="865"/>
    </row>
    <row r="61" spans="2:29" s="595" customFormat="1" ht="15" customHeight="1" x14ac:dyDescent="0.3">
      <c r="B61" s="601"/>
      <c r="C61" s="864"/>
      <c r="D61" s="864"/>
      <c r="E61" s="864"/>
      <c r="F61" s="835"/>
      <c r="G61" s="597"/>
      <c r="H61" s="591"/>
      <c r="I61" s="869">
        <f>O72</f>
        <v>1.8900000000000001</v>
      </c>
      <c r="J61" s="870" t="s">
        <v>8</v>
      </c>
      <c r="K61" s="868">
        <v>2</v>
      </c>
      <c r="L61" s="592" t="s">
        <v>10</v>
      </c>
      <c r="M61" s="803">
        <f t="shared" ref="M61:M63" si="0">I61*K61</f>
        <v>3.7800000000000002</v>
      </c>
      <c r="N61" s="592"/>
      <c r="O61" s="1318"/>
      <c r="P61" s="889"/>
      <c r="Q61" s="803"/>
      <c r="R61" s="592"/>
      <c r="S61" s="593"/>
      <c r="T61" s="592"/>
      <c r="U61" s="592"/>
      <c r="V61" s="592"/>
      <c r="W61" s="592"/>
      <c r="X61" s="592"/>
      <c r="Y61" s="599"/>
      <c r="Z61" s="861"/>
      <c r="AA61" s="865"/>
    </row>
    <row r="62" spans="2:29" s="595" customFormat="1" ht="15" customHeight="1" x14ac:dyDescent="0.3">
      <c r="B62" s="601"/>
      <c r="C62" s="864"/>
      <c r="D62" s="864"/>
      <c r="E62" s="864"/>
      <c r="F62" s="835"/>
      <c r="G62" s="597"/>
      <c r="H62" s="591"/>
      <c r="I62" s="869">
        <f>I74</f>
        <v>6.0200000000000005</v>
      </c>
      <c r="J62" s="870" t="s">
        <v>8</v>
      </c>
      <c r="K62" s="868">
        <f>K70</f>
        <v>0.12</v>
      </c>
      <c r="L62" s="592" t="s">
        <v>10</v>
      </c>
      <c r="M62" s="803">
        <f t="shared" si="0"/>
        <v>0.72240000000000004</v>
      </c>
      <c r="N62" s="592"/>
      <c r="O62" s="1318"/>
      <c r="P62" s="889"/>
      <c r="Q62" s="803"/>
      <c r="R62" s="592"/>
      <c r="S62" s="593"/>
      <c r="T62" s="592"/>
      <c r="U62" s="592"/>
      <c r="V62" s="592"/>
      <c r="W62" s="592"/>
      <c r="X62" s="592"/>
      <c r="Y62" s="599"/>
      <c r="Z62" s="861"/>
      <c r="AA62" s="865"/>
    </row>
    <row r="63" spans="2:29" s="595" customFormat="1" ht="15" customHeight="1" x14ac:dyDescent="0.3">
      <c r="B63" s="601"/>
      <c r="C63" s="864"/>
      <c r="D63" s="864"/>
      <c r="E63" s="864"/>
      <c r="F63" s="835"/>
      <c r="G63" s="597"/>
      <c r="H63" s="591"/>
      <c r="I63" s="869">
        <f>O76</f>
        <v>3.5200000000000005</v>
      </c>
      <c r="J63" s="870" t="s">
        <v>8</v>
      </c>
      <c r="K63" s="868">
        <v>2</v>
      </c>
      <c r="L63" s="592" t="s">
        <v>10</v>
      </c>
      <c r="M63" s="803">
        <f t="shared" si="0"/>
        <v>7.0400000000000009</v>
      </c>
      <c r="N63" s="592"/>
      <c r="O63" s="1318"/>
      <c r="P63" s="889"/>
      <c r="Q63" s="803"/>
      <c r="R63" s="592"/>
      <c r="S63" s="593"/>
      <c r="T63" s="592"/>
      <c r="U63" s="592"/>
      <c r="V63" s="592"/>
      <c r="W63" s="592"/>
      <c r="X63" s="592"/>
      <c r="Y63" s="599"/>
      <c r="Z63" s="861"/>
      <c r="AA63" s="865"/>
    </row>
    <row r="64" spans="2:29" s="595" customFormat="1" ht="15" customHeight="1" x14ac:dyDescent="0.3">
      <c r="B64" s="601"/>
      <c r="C64" s="864"/>
      <c r="D64" s="864"/>
      <c r="E64" s="864"/>
      <c r="F64" s="835"/>
      <c r="G64" s="597"/>
      <c r="H64" s="591"/>
      <c r="I64" s="869"/>
      <c r="J64" s="870"/>
      <c r="K64" s="868"/>
      <c r="L64" s="592"/>
      <c r="M64" s="803"/>
      <c r="N64" s="592"/>
      <c r="O64" s="814"/>
      <c r="P64" s="612"/>
      <c r="Q64" s="830"/>
      <c r="R64" s="592"/>
      <c r="S64" s="593"/>
      <c r="T64" s="592"/>
      <c r="U64" s="592"/>
      <c r="V64" s="592"/>
      <c r="W64" s="592"/>
      <c r="X64" s="592"/>
      <c r="Y64" s="599"/>
      <c r="Z64" s="861"/>
      <c r="AA64" s="865"/>
    </row>
    <row r="65" spans="2:27" s="595" customFormat="1" ht="15" customHeight="1" x14ac:dyDescent="0.3">
      <c r="B65" s="792" t="s">
        <v>718</v>
      </c>
      <c r="C65" s="871" t="str">
        <f>'[2]Analisa SNI'!F2914</f>
        <v xml:space="preserve">PEKERJAAN PLESTERAN </v>
      </c>
      <c r="D65" s="871"/>
      <c r="E65" s="872"/>
      <c r="F65" s="863"/>
      <c r="G65" s="794"/>
      <c r="H65" s="873"/>
      <c r="I65" s="797"/>
      <c r="J65" s="798"/>
      <c r="K65" s="799"/>
      <c r="L65" s="798"/>
      <c r="M65" s="799"/>
      <c r="N65" s="798"/>
      <c r="O65" s="842"/>
      <c r="P65" s="798"/>
      <c r="Q65" s="798"/>
      <c r="R65" s="798"/>
      <c r="S65" s="798"/>
      <c r="T65" s="798"/>
      <c r="U65" s="798"/>
      <c r="V65" s="798"/>
      <c r="W65" s="798"/>
      <c r="X65" s="798"/>
      <c r="Y65" s="801"/>
      <c r="AA65" s="600"/>
    </row>
    <row r="66" spans="2:27" s="595" customFormat="1" ht="15" customHeight="1" x14ac:dyDescent="0.3">
      <c r="B66" s="601">
        <v>1</v>
      </c>
      <c r="C66" s="1595" t="str">
        <f>'[2]Analisa SNI'!F2937</f>
        <v>Membuat 1 m2 plesteran 1 PC : 2 PP, tebal 15 mm</v>
      </c>
      <c r="D66" s="1595"/>
      <c r="E66" s="1595"/>
      <c r="F66" s="789">
        <f>M66</f>
        <v>17.520000000000003</v>
      </c>
      <c r="G66" s="597" t="s">
        <v>309</v>
      </c>
      <c r="H66" s="594" t="s">
        <v>719</v>
      </c>
      <c r="I66" s="790">
        <f>Q47</f>
        <v>8.7600000000000016</v>
      </c>
      <c r="J66" s="592" t="s">
        <v>8</v>
      </c>
      <c r="K66" s="803">
        <v>2</v>
      </c>
      <c r="L66" s="592" t="s">
        <v>10</v>
      </c>
      <c r="M66" s="803">
        <f>I66*K66</f>
        <v>17.520000000000003</v>
      </c>
      <c r="N66" s="604" t="s">
        <v>309</v>
      </c>
      <c r="O66" s="808" t="s">
        <v>711</v>
      </c>
      <c r="P66" s="592"/>
      <c r="Q66" s="830"/>
      <c r="R66" s="592"/>
      <c r="S66" s="808"/>
      <c r="T66" s="592"/>
      <c r="U66" s="592"/>
      <c r="V66" s="1279"/>
      <c r="W66" s="1279"/>
      <c r="X66" s="592"/>
      <c r="Y66" s="592"/>
      <c r="AA66" s="600"/>
    </row>
    <row r="67" spans="2:27" s="595" customFormat="1" ht="15" customHeight="1" x14ac:dyDescent="0.3">
      <c r="B67" s="601"/>
      <c r="C67" s="874" t="str">
        <f>'[2]Analisa SNI'!F2959</f>
        <v>Membuat 1 m2 plesteran 1 PC : 4 PP, tebal 15 mm</v>
      </c>
      <c r="D67" s="1254"/>
      <c r="E67" s="874"/>
      <c r="F67" s="789">
        <f>M67</f>
        <v>304.42000000000007</v>
      </c>
      <c r="G67" s="597" t="s">
        <v>309</v>
      </c>
      <c r="H67" s="594"/>
      <c r="I67" s="790">
        <f>Q48</f>
        <v>152.21000000000004</v>
      </c>
      <c r="J67" s="592" t="s">
        <v>8</v>
      </c>
      <c r="K67" s="803">
        <v>2</v>
      </c>
      <c r="L67" s="592" t="s">
        <v>10</v>
      </c>
      <c r="M67" s="803">
        <f>I67*K67</f>
        <v>304.42000000000007</v>
      </c>
      <c r="N67" s="604" t="s">
        <v>309</v>
      </c>
      <c r="O67" s="861" t="s">
        <v>713</v>
      </c>
      <c r="P67" s="592"/>
      <c r="Q67" s="830"/>
      <c r="R67" s="592"/>
      <c r="S67" s="808"/>
      <c r="T67" s="592"/>
      <c r="U67" s="592"/>
      <c r="V67" s="1279"/>
      <c r="W67" s="1279"/>
      <c r="X67" s="592"/>
      <c r="Y67" s="592"/>
      <c r="AA67" s="600"/>
    </row>
    <row r="68" spans="2:27" s="595" customFormat="1" ht="15" customHeight="1" x14ac:dyDescent="0.3">
      <c r="B68" s="601"/>
      <c r="C68" s="832"/>
      <c r="D68" s="880"/>
      <c r="E68" s="602"/>
      <c r="F68" s="835"/>
      <c r="G68" s="597"/>
      <c r="H68" s="594"/>
      <c r="I68" s="790"/>
      <c r="J68" s="592"/>
      <c r="K68" s="803"/>
      <c r="L68" s="592"/>
      <c r="M68" s="803"/>
      <c r="N68" s="592"/>
      <c r="O68" s="804"/>
      <c r="P68" s="592"/>
      <c r="Q68" s="830"/>
      <c r="R68" s="592"/>
      <c r="S68" s="830"/>
      <c r="T68" s="592"/>
      <c r="U68" s="592"/>
      <c r="V68" s="592"/>
      <c r="W68" s="592"/>
      <c r="X68" s="592"/>
      <c r="Y68" s="599"/>
      <c r="AA68" s="600"/>
    </row>
    <row r="69" spans="2:27" s="595" customFormat="1" ht="15" customHeight="1" x14ac:dyDescent="0.3">
      <c r="B69" s="802" t="s">
        <v>727</v>
      </c>
      <c r="C69" s="875" t="str">
        <f>'[2]Analisa SNI'!$F$3225</f>
        <v xml:space="preserve">PEKERJAAN KAYU </v>
      </c>
      <c r="D69" s="1258"/>
      <c r="E69" s="807"/>
      <c r="F69" s="835"/>
      <c r="G69" s="597"/>
      <c r="H69" s="594"/>
      <c r="I69" s="790"/>
      <c r="J69" s="592"/>
      <c r="K69" s="803"/>
      <c r="L69" s="592"/>
      <c r="M69" s="803"/>
      <c r="N69" s="592"/>
      <c r="O69" s="804"/>
      <c r="P69" s="592"/>
      <c r="Q69" s="830"/>
      <c r="R69" s="592"/>
      <c r="S69" s="830"/>
      <c r="T69" s="592"/>
      <c r="U69" s="592"/>
      <c r="V69" s="592"/>
      <c r="W69" s="592"/>
      <c r="X69" s="592"/>
      <c r="Y69" s="599"/>
      <c r="AA69" s="600"/>
    </row>
    <row r="70" spans="2:27" s="595" customFormat="1" ht="15" customHeight="1" x14ac:dyDescent="0.3">
      <c r="B70" s="601">
        <v>1</v>
      </c>
      <c r="C70" s="1592" t="s">
        <v>1153</v>
      </c>
      <c r="D70" s="1593"/>
      <c r="E70" s="1596"/>
      <c r="F70" s="789">
        <f>O70</f>
        <v>3.8879999999999998E-2</v>
      </c>
      <c r="G70" s="876" t="s">
        <v>506</v>
      </c>
      <c r="H70" s="594"/>
      <c r="I70" s="790">
        <v>5.4</v>
      </c>
      <c r="J70" s="592" t="s">
        <v>8</v>
      </c>
      <c r="K70" s="803">
        <v>0.12</v>
      </c>
      <c r="L70" s="1278" t="s">
        <v>8</v>
      </c>
      <c r="M70" s="803">
        <v>0.06</v>
      </c>
      <c r="N70" s="592" t="s">
        <v>10</v>
      </c>
      <c r="O70" s="804">
        <f>I70*K70*M70</f>
        <v>3.8879999999999998E-2</v>
      </c>
      <c r="P70" s="592"/>
      <c r="Q70" s="830"/>
      <c r="R70" s="592"/>
      <c r="S70" s="830"/>
      <c r="T70" s="592"/>
      <c r="U70" s="592"/>
      <c r="V70" s="592"/>
      <c r="W70" s="592"/>
      <c r="X70" s="592"/>
      <c r="Y70" s="599"/>
      <c r="AA70" s="600"/>
    </row>
    <row r="71" spans="2:27" s="595" customFormat="1" ht="15" customHeight="1" x14ac:dyDescent="0.3">
      <c r="B71" s="601"/>
      <c r="C71" s="1592"/>
      <c r="D71" s="1593"/>
      <c r="E71" s="1596"/>
      <c r="F71" s="835"/>
      <c r="G71" s="597"/>
      <c r="H71" s="594"/>
      <c r="I71" s="790"/>
      <c r="J71" s="592"/>
      <c r="K71" s="803"/>
      <c r="L71" s="592"/>
      <c r="M71" s="803"/>
      <c r="N71" s="592"/>
      <c r="O71" s="804"/>
      <c r="P71" s="592"/>
      <c r="Q71" s="830"/>
      <c r="R71" s="592"/>
      <c r="S71" s="830"/>
      <c r="T71" s="592"/>
      <c r="U71" s="592"/>
      <c r="V71" s="592"/>
      <c r="W71" s="592"/>
      <c r="X71" s="592"/>
      <c r="Y71" s="599"/>
      <c r="AA71" s="600"/>
    </row>
    <row r="72" spans="2:27" s="595" customFormat="1" ht="15" customHeight="1" x14ac:dyDescent="0.3">
      <c r="B72" s="601">
        <v>2</v>
      </c>
      <c r="C72" s="877" t="s">
        <v>1154</v>
      </c>
      <c r="D72" s="838"/>
      <c r="E72" s="807"/>
      <c r="F72" s="789">
        <f>O72</f>
        <v>1.8900000000000001</v>
      </c>
      <c r="G72" s="597" t="s">
        <v>309</v>
      </c>
      <c r="H72" s="594" t="s">
        <v>720</v>
      </c>
      <c r="I72" s="790">
        <v>2.1</v>
      </c>
      <c r="J72" s="592" t="s">
        <v>8</v>
      </c>
      <c r="K72" s="803">
        <v>0.9</v>
      </c>
      <c r="L72" s="592" t="s">
        <v>8</v>
      </c>
      <c r="M72" s="803">
        <v>1</v>
      </c>
      <c r="N72" s="592" t="s">
        <v>10</v>
      </c>
      <c r="O72" s="803">
        <f>I72*K72*M72</f>
        <v>1.8900000000000001</v>
      </c>
      <c r="P72" s="592" t="s">
        <v>309</v>
      </c>
      <c r="Q72" s="592" t="s">
        <v>721</v>
      </c>
      <c r="R72" s="592"/>
      <c r="S72" s="830"/>
      <c r="T72" s="592"/>
      <c r="U72" s="592"/>
      <c r="V72" s="592"/>
      <c r="W72" s="592"/>
      <c r="X72" s="592"/>
      <c r="Y72" s="599"/>
      <c r="AA72" s="600"/>
    </row>
    <row r="73" spans="2:27" s="595" customFormat="1" ht="15" customHeight="1" x14ac:dyDescent="0.3">
      <c r="B73" s="601"/>
      <c r="C73" s="877"/>
      <c r="D73" s="838"/>
      <c r="E73" s="807"/>
      <c r="F73" s="789"/>
      <c r="G73" s="597"/>
      <c r="H73" s="594"/>
      <c r="I73" s="790"/>
      <c r="J73" s="592"/>
      <c r="K73" s="803"/>
      <c r="L73" s="592"/>
      <c r="M73" s="803"/>
      <c r="N73" s="592"/>
      <c r="O73" s="803"/>
      <c r="P73" s="592"/>
      <c r="Q73" s="592"/>
      <c r="R73" s="592"/>
      <c r="S73" s="830"/>
      <c r="T73" s="592"/>
      <c r="U73" s="592"/>
      <c r="V73" s="592"/>
      <c r="W73" s="592"/>
      <c r="X73" s="592"/>
      <c r="Y73" s="599"/>
      <c r="AA73" s="600"/>
    </row>
    <row r="74" spans="2:27" s="595" customFormat="1" ht="15" customHeight="1" x14ac:dyDescent="0.3">
      <c r="B74" s="601"/>
      <c r="C74" s="1374" t="s">
        <v>1151</v>
      </c>
      <c r="D74" s="1350"/>
      <c r="E74" s="1316"/>
      <c r="F74" s="789">
        <f>O74</f>
        <v>5.4179999999999999E-2</v>
      </c>
      <c r="G74" s="597"/>
      <c r="H74" s="594"/>
      <c r="I74" s="790">
        <f>(0.81*2)+(2.2*2)</f>
        <v>6.0200000000000005</v>
      </c>
      <c r="J74" s="592" t="s">
        <v>8</v>
      </c>
      <c r="K74" s="803">
        <v>0.15</v>
      </c>
      <c r="L74" s="592" t="s">
        <v>8</v>
      </c>
      <c r="M74" s="803">
        <f>M70</f>
        <v>0.06</v>
      </c>
      <c r="N74" s="592" t="s">
        <v>10</v>
      </c>
      <c r="O74" s="804">
        <f>I74*K74*M74</f>
        <v>5.4179999999999999E-2</v>
      </c>
      <c r="P74" s="592"/>
      <c r="Q74" s="592"/>
      <c r="R74" s="592"/>
      <c r="S74" s="830"/>
      <c r="T74" s="592"/>
      <c r="U74" s="592"/>
      <c r="V74" s="592"/>
      <c r="W74" s="592"/>
      <c r="X74" s="592"/>
      <c r="Y74" s="599"/>
      <c r="AA74" s="600"/>
    </row>
    <row r="75" spans="2:27" s="595" customFormat="1" ht="15" customHeight="1" x14ac:dyDescent="0.3">
      <c r="B75" s="601"/>
      <c r="C75" s="1375"/>
      <c r="D75" s="1376"/>
      <c r="E75" s="902"/>
      <c r="F75" s="789"/>
      <c r="G75" s="597"/>
      <c r="H75" s="594"/>
      <c r="I75" s="790"/>
      <c r="J75" s="592"/>
      <c r="K75" s="803"/>
      <c r="L75" s="592"/>
      <c r="M75" s="803"/>
      <c r="N75" s="592"/>
      <c r="O75" s="803"/>
      <c r="P75" s="592"/>
      <c r="Q75" s="592"/>
      <c r="R75" s="592"/>
      <c r="S75" s="830"/>
      <c r="T75" s="592"/>
      <c r="U75" s="592"/>
      <c r="V75" s="592"/>
      <c r="W75" s="592"/>
      <c r="X75" s="592"/>
      <c r="Y75" s="599"/>
      <c r="AA75" s="600"/>
    </row>
    <row r="76" spans="2:27" s="595" customFormat="1" ht="15" customHeight="1" x14ac:dyDescent="0.3">
      <c r="B76" s="601"/>
      <c r="C76" s="877" t="s">
        <v>1152</v>
      </c>
      <c r="D76" s="838"/>
      <c r="E76" s="807"/>
      <c r="F76" s="835">
        <f>O76</f>
        <v>3.5200000000000005</v>
      </c>
      <c r="G76" s="597"/>
      <c r="H76" s="594"/>
      <c r="I76" s="790">
        <v>0.8</v>
      </c>
      <c r="J76" s="592" t="s">
        <v>8</v>
      </c>
      <c r="K76" s="803">
        <v>2.2000000000000002</v>
      </c>
      <c r="L76" s="592" t="s">
        <v>8</v>
      </c>
      <c r="M76" s="803">
        <v>2</v>
      </c>
      <c r="N76" s="592" t="s">
        <v>10</v>
      </c>
      <c r="O76" s="804">
        <f>I76*K76*M76</f>
        <v>3.5200000000000005</v>
      </c>
      <c r="P76" s="592"/>
      <c r="Q76" s="830"/>
      <c r="R76" s="592"/>
      <c r="S76" s="830"/>
      <c r="T76" s="592"/>
      <c r="U76" s="592"/>
      <c r="V76" s="592"/>
      <c r="W76" s="592"/>
      <c r="X76" s="592"/>
      <c r="Y76" s="599"/>
      <c r="AA76" s="600"/>
    </row>
    <row r="77" spans="2:27" s="595" customFormat="1" ht="15" customHeight="1" x14ac:dyDescent="0.3">
      <c r="B77" s="601"/>
      <c r="C77" s="877"/>
      <c r="D77" s="838"/>
      <c r="E77" s="807"/>
      <c r="F77" s="835"/>
      <c r="G77" s="597"/>
      <c r="H77" s="594"/>
      <c r="I77" s="790"/>
      <c r="J77" s="592"/>
      <c r="K77" s="803"/>
      <c r="L77" s="592"/>
      <c r="M77" s="803"/>
      <c r="N77" s="592"/>
      <c r="O77" s="803"/>
      <c r="P77" s="592"/>
      <c r="Q77" s="830"/>
      <c r="R77" s="592"/>
      <c r="S77" s="830"/>
      <c r="T77" s="592"/>
      <c r="U77" s="592"/>
      <c r="V77" s="592"/>
      <c r="W77" s="592"/>
      <c r="X77" s="592"/>
      <c r="Y77" s="599"/>
      <c r="AA77" s="600"/>
    </row>
    <row r="78" spans="2:27" s="595" customFormat="1" ht="15" customHeight="1" x14ac:dyDescent="0.3">
      <c r="B78" s="601">
        <v>4</v>
      </c>
      <c r="C78" s="877" t="s">
        <v>722</v>
      </c>
      <c r="D78" s="838"/>
      <c r="E78" s="602"/>
      <c r="F78" s="603">
        <v>2</v>
      </c>
      <c r="G78" s="597"/>
      <c r="H78" s="594"/>
      <c r="I78" s="790"/>
      <c r="J78" s="592"/>
      <c r="K78" s="803"/>
      <c r="L78" s="592"/>
      <c r="M78" s="803"/>
      <c r="N78" s="592"/>
      <c r="O78" s="804"/>
      <c r="P78" s="592"/>
      <c r="Q78" s="830"/>
      <c r="R78" s="592"/>
      <c r="S78" s="830"/>
      <c r="T78" s="592"/>
      <c r="U78" s="592"/>
      <c r="V78" s="592"/>
      <c r="W78" s="592"/>
      <c r="X78" s="592"/>
      <c r="Y78" s="599"/>
      <c r="AA78" s="600"/>
    </row>
    <row r="79" spans="2:27" s="595" customFormat="1" ht="15" customHeight="1" x14ac:dyDescent="0.3">
      <c r="B79" s="601">
        <v>5</v>
      </c>
      <c r="C79" s="877" t="s">
        <v>723</v>
      </c>
      <c r="D79" s="838"/>
      <c r="E79" s="602"/>
      <c r="F79" s="603">
        <v>8</v>
      </c>
      <c r="G79" s="597"/>
      <c r="H79" s="594"/>
      <c r="I79" s="790"/>
      <c r="J79" s="592"/>
      <c r="K79" s="803"/>
      <c r="L79" s="592"/>
      <c r="M79" s="803"/>
      <c r="N79" s="592"/>
      <c r="O79" s="803"/>
      <c r="P79" s="592"/>
      <c r="Q79" s="830"/>
      <c r="R79" s="592"/>
      <c r="S79" s="830"/>
      <c r="T79" s="592"/>
      <c r="U79" s="592"/>
      <c r="V79" s="592"/>
      <c r="W79" s="592"/>
      <c r="X79" s="592"/>
      <c r="Y79" s="599"/>
      <c r="AA79" s="600"/>
    </row>
    <row r="80" spans="2:27" s="595" customFormat="1" ht="15" customHeight="1" x14ac:dyDescent="0.3">
      <c r="B80" s="885"/>
      <c r="C80" s="877"/>
      <c r="D80" s="838"/>
      <c r="E80" s="1362"/>
      <c r="F80" s="603"/>
      <c r="G80" s="887"/>
      <c r="H80" s="1274"/>
      <c r="I80" s="888"/>
      <c r="J80" s="889"/>
      <c r="K80" s="890"/>
      <c r="L80" s="889"/>
      <c r="M80" s="890"/>
      <c r="N80" s="889"/>
      <c r="O80" s="890"/>
      <c r="P80" s="889"/>
      <c r="Q80" s="891"/>
      <c r="R80" s="889"/>
      <c r="S80" s="891"/>
      <c r="T80" s="889"/>
      <c r="U80" s="889"/>
      <c r="V80" s="889"/>
      <c r="W80" s="889"/>
      <c r="X80" s="889"/>
      <c r="Y80" s="898"/>
      <c r="AA80" s="600"/>
    </row>
    <row r="81" spans="2:27" s="595" customFormat="1" ht="15" customHeight="1" x14ac:dyDescent="0.3">
      <c r="B81" s="885"/>
      <c r="C81" s="877" t="s">
        <v>1156</v>
      </c>
      <c r="D81" s="838"/>
      <c r="E81" s="1362"/>
      <c r="F81" s="603">
        <f>O81</f>
        <v>8.0699999999999994E-2</v>
      </c>
      <c r="G81" s="887" t="s">
        <v>7</v>
      </c>
      <c r="H81" s="1274"/>
      <c r="I81" s="888">
        <f>(1.9*4)+(0.65*3*3)</f>
        <v>13.45</v>
      </c>
      <c r="J81" s="889" t="s">
        <v>8</v>
      </c>
      <c r="K81" s="890">
        <f>K70</f>
        <v>0.12</v>
      </c>
      <c r="L81" s="889" t="s">
        <v>8</v>
      </c>
      <c r="M81" s="890">
        <v>0.05</v>
      </c>
      <c r="N81" s="889" t="s">
        <v>10</v>
      </c>
      <c r="O81" s="890">
        <f>I81*K81*M81</f>
        <v>8.0699999999999994E-2</v>
      </c>
      <c r="P81" s="889"/>
      <c r="Q81" s="891"/>
      <c r="R81" s="889"/>
      <c r="S81" s="891"/>
      <c r="T81" s="889"/>
      <c r="U81" s="889"/>
      <c r="V81" s="889"/>
      <c r="W81" s="889"/>
      <c r="X81" s="889"/>
      <c r="Y81" s="898"/>
      <c r="AA81" s="600"/>
    </row>
    <row r="82" spans="2:27" s="595" customFormat="1" ht="15" customHeight="1" x14ac:dyDescent="0.3">
      <c r="B82" s="885"/>
      <c r="C82" s="877"/>
      <c r="D82" s="838"/>
      <c r="E82" s="1362"/>
      <c r="F82" s="603"/>
      <c r="G82" s="887"/>
      <c r="H82" s="1274"/>
      <c r="I82" s="888"/>
      <c r="J82" s="889"/>
      <c r="K82" s="890"/>
      <c r="L82" s="889"/>
      <c r="M82" s="890"/>
      <c r="N82" s="889"/>
      <c r="O82" s="890"/>
      <c r="P82" s="889"/>
      <c r="Q82" s="891"/>
      <c r="R82" s="889"/>
      <c r="S82" s="891"/>
      <c r="T82" s="889"/>
      <c r="U82" s="889"/>
      <c r="V82" s="889"/>
      <c r="W82" s="889"/>
      <c r="X82" s="889"/>
      <c r="Y82" s="898"/>
      <c r="AA82" s="600"/>
    </row>
    <row r="83" spans="2:27" s="595" customFormat="1" ht="15" customHeight="1" x14ac:dyDescent="0.3">
      <c r="B83" s="885"/>
      <c r="C83" s="877" t="s">
        <v>1157</v>
      </c>
      <c r="D83" s="838"/>
      <c r="E83" s="1362"/>
      <c r="F83" s="603">
        <f>SUM(O83:O84)</f>
        <v>3.1992000000000003</v>
      </c>
      <c r="G83" s="887" t="s">
        <v>435</v>
      </c>
      <c r="H83" s="1274"/>
      <c r="I83" s="888">
        <v>1.31</v>
      </c>
      <c r="J83" s="889" t="s">
        <v>8</v>
      </c>
      <c r="K83" s="890">
        <v>0.62</v>
      </c>
      <c r="L83" s="889" t="s">
        <v>8</v>
      </c>
      <c r="M83" s="890">
        <v>3</v>
      </c>
      <c r="N83" s="889" t="s">
        <v>10</v>
      </c>
      <c r="O83" s="890">
        <f>I83*K83*M83</f>
        <v>2.4366000000000003</v>
      </c>
      <c r="P83" s="889"/>
      <c r="Q83" s="891"/>
      <c r="R83" s="889"/>
      <c r="S83" s="891"/>
      <c r="T83" s="889"/>
      <c r="U83" s="889"/>
      <c r="V83" s="889"/>
      <c r="W83" s="889"/>
      <c r="X83" s="889"/>
      <c r="Y83" s="898"/>
      <c r="AA83" s="600"/>
    </row>
    <row r="84" spans="2:27" s="595" customFormat="1" ht="15" customHeight="1" x14ac:dyDescent="0.3">
      <c r="B84" s="885"/>
      <c r="C84" s="877"/>
      <c r="D84" s="838"/>
      <c r="E84" s="1362" t="s">
        <v>1158</v>
      </c>
      <c r="F84" s="603"/>
      <c r="G84" s="887"/>
      <c r="H84" s="1274"/>
      <c r="I84" s="888">
        <v>0.41</v>
      </c>
      <c r="J84" s="889" t="s">
        <v>8</v>
      </c>
      <c r="K84" s="890">
        <f>K83</f>
        <v>0.62</v>
      </c>
      <c r="L84" s="889" t="s">
        <v>8</v>
      </c>
      <c r="M84" s="890">
        <f>M83</f>
        <v>3</v>
      </c>
      <c r="N84" s="889" t="s">
        <v>10</v>
      </c>
      <c r="O84" s="890">
        <f>I84*K84*M84</f>
        <v>0.76259999999999994</v>
      </c>
      <c r="P84" s="889"/>
      <c r="Q84" s="891"/>
      <c r="R84" s="889"/>
      <c r="S84" s="891"/>
      <c r="T84" s="889"/>
      <c r="U84" s="889"/>
      <c r="V84" s="889"/>
      <c r="W84" s="889"/>
      <c r="X84" s="889"/>
      <c r="Y84" s="898"/>
      <c r="AA84" s="600"/>
    </row>
    <row r="85" spans="2:27" s="595" customFormat="1" ht="15" customHeight="1" x14ac:dyDescent="0.3">
      <c r="B85" s="885"/>
      <c r="C85" s="1377"/>
      <c r="D85" s="809"/>
      <c r="E85" s="606"/>
      <c r="F85" s="1273"/>
      <c r="G85" s="887"/>
      <c r="H85" s="1274"/>
      <c r="I85" s="888"/>
      <c r="J85" s="889"/>
      <c r="K85" s="890"/>
      <c r="L85" s="889"/>
      <c r="M85" s="890"/>
      <c r="N85" s="889"/>
      <c r="O85" s="890"/>
      <c r="P85" s="889"/>
      <c r="Q85" s="891"/>
      <c r="R85" s="889"/>
      <c r="S85" s="891"/>
      <c r="T85" s="889"/>
      <c r="U85" s="889"/>
      <c r="V85" s="889"/>
      <c r="W85" s="889"/>
      <c r="X85" s="889"/>
      <c r="Y85" s="898"/>
      <c r="AA85" s="600"/>
    </row>
    <row r="86" spans="2:27" s="595" customFormat="1" ht="15" customHeight="1" x14ac:dyDescent="0.3">
      <c r="B86" s="792" t="s">
        <v>730</v>
      </c>
      <c r="C86" s="871" t="str">
        <f>[2]RAB!E54</f>
        <v xml:space="preserve">PEKERJAAN BESI DAN ALUMINIUM </v>
      </c>
      <c r="D86" s="871"/>
      <c r="E86" s="1275"/>
      <c r="F86" s="863"/>
      <c r="G86" s="794"/>
      <c r="H86" s="1276"/>
      <c r="I86" s="797"/>
      <c r="J86" s="798"/>
      <c r="K86" s="799"/>
      <c r="L86" s="798"/>
      <c r="M86" s="799"/>
      <c r="N86" s="798"/>
      <c r="O86" s="799"/>
      <c r="P86" s="798"/>
      <c r="Q86" s="848"/>
      <c r="R86" s="798"/>
      <c r="S86" s="848"/>
      <c r="T86" s="798"/>
      <c r="U86" s="798"/>
      <c r="V86" s="798"/>
      <c r="W86" s="798"/>
      <c r="X86" s="798"/>
      <c r="Y86" s="801"/>
      <c r="AA86" s="600"/>
    </row>
    <row r="87" spans="2:27" s="595" customFormat="1" ht="15.75" customHeight="1" x14ac:dyDescent="0.3">
      <c r="B87" s="879">
        <v>1</v>
      </c>
      <c r="C87" s="1254" t="str">
        <f>[2]RAB!E55</f>
        <v>Memasang 1 M2 atap baja ringan bentang lebih dari 8m + rangka dan reng</v>
      </c>
      <c r="D87" s="1254"/>
      <c r="E87" s="1254"/>
      <c r="F87" s="789">
        <f>O90</f>
        <v>94.5137</v>
      </c>
      <c r="G87" s="597" t="s">
        <v>309</v>
      </c>
      <c r="H87" s="591" t="s">
        <v>724</v>
      </c>
      <c r="I87" s="790">
        <f>I96</f>
        <v>10.8</v>
      </c>
      <c r="J87" s="592" t="s">
        <v>8</v>
      </c>
      <c r="K87" s="803">
        <f>K96</f>
        <v>3.84</v>
      </c>
      <c r="L87" s="592" t="s">
        <v>8</v>
      </c>
      <c r="M87" s="803">
        <v>2</v>
      </c>
      <c r="N87" s="592" t="s">
        <v>10</v>
      </c>
      <c r="O87" s="803">
        <f>I87*K87*M87</f>
        <v>82.944000000000003</v>
      </c>
      <c r="P87" s="592" t="s">
        <v>309</v>
      </c>
      <c r="Q87" s="808" t="s">
        <v>725</v>
      </c>
      <c r="R87" s="592"/>
      <c r="S87" s="830"/>
      <c r="T87" s="592"/>
      <c r="U87" s="592"/>
      <c r="V87" s="592"/>
      <c r="W87" s="592"/>
      <c r="X87" s="592"/>
      <c r="Y87" s="599"/>
      <c r="AA87" s="600"/>
    </row>
    <row r="88" spans="2:27" s="595" customFormat="1" ht="15" customHeight="1" x14ac:dyDescent="0.3">
      <c r="B88" s="879"/>
      <c r="C88" s="880"/>
      <c r="D88" s="880"/>
      <c r="E88" s="602"/>
      <c r="F88" s="835"/>
      <c r="G88" s="597"/>
      <c r="H88" s="591"/>
      <c r="I88" s="790">
        <v>2.38</v>
      </c>
      <c r="J88" s="592" t="s">
        <v>8</v>
      </c>
      <c r="K88" s="803">
        <v>1.03</v>
      </c>
      <c r="L88" s="592" t="s">
        <v>8</v>
      </c>
      <c r="M88" s="803">
        <v>2</v>
      </c>
      <c r="N88" s="592" t="s">
        <v>10</v>
      </c>
      <c r="O88" s="803">
        <f>I88*K88*M88</f>
        <v>4.9028</v>
      </c>
      <c r="P88" s="592" t="s">
        <v>309</v>
      </c>
      <c r="Q88" s="1591" t="s">
        <v>726</v>
      </c>
      <c r="R88" s="592"/>
      <c r="S88" s="830"/>
      <c r="T88" s="592"/>
      <c r="U88" s="592"/>
      <c r="V88" s="592"/>
      <c r="W88" s="592"/>
      <c r="X88" s="592"/>
      <c r="Y88" s="599"/>
      <c r="AA88" s="600"/>
    </row>
    <row r="89" spans="2:27" s="595" customFormat="1" ht="15" customHeight="1" x14ac:dyDescent="0.3">
      <c r="B89" s="879"/>
      <c r="C89" s="880"/>
      <c r="D89" s="880"/>
      <c r="E89" s="602"/>
      <c r="F89" s="835"/>
      <c r="G89" s="597"/>
      <c r="H89" s="591"/>
      <c r="I89" s="790">
        <v>3.13</v>
      </c>
      <c r="J89" s="592" t="s">
        <v>8</v>
      </c>
      <c r="K89" s="803">
        <v>2.13</v>
      </c>
      <c r="L89" s="592" t="s">
        <v>8</v>
      </c>
      <c r="M89" s="803">
        <v>1</v>
      </c>
      <c r="N89" s="592" t="s">
        <v>10</v>
      </c>
      <c r="O89" s="813">
        <f>I89*K89*M89</f>
        <v>6.6668999999999992</v>
      </c>
      <c r="P89" s="611" t="s">
        <v>309</v>
      </c>
      <c r="Q89" s="1591"/>
      <c r="R89" s="592"/>
      <c r="S89" s="830"/>
      <c r="T89" s="592"/>
      <c r="U89" s="592"/>
      <c r="V89" s="592"/>
      <c r="W89" s="592"/>
      <c r="X89" s="592"/>
      <c r="Y89" s="599"/>
      <c r="AA89" s="600"/>
    </row>
    <row r="90" spans="2:27" s="595" customFormat="1" ht="15" customHeight="1" x14ac:dyDescent="0.3">
      <c r="B90" s="879"/>
      <c r="C90" s="880"/>
      <c r="D90" s="880"/>
      <c r="E90" s="602"/>
      <c r="F90" s="835"/>
      <c r="G90" s="597"/>
      <c r="H90" s="591"/>
      <c r="I90" s="790"/>
      <c r="J90" s="592"/>
      <c r="K90" s="803"/>
      <c r="L90" s="592"/>
      <c r="M90" s="803"/>
      <c r="N90" s="592"/>
      <c r="O90" s="881">
        <f>SUM(O87:O89)</f>
        <v>94.5137</v>
      </c>
      <c r="P90" s="851" t="s">
        <v>309</v>
      </c>
      <c r="Q90" s="785"/>
      <c r="R90" s="592"/>
      <c r="S90" s="830"/>
      <c r="T90" s="592"/>
      <c r="U90" s="592"/>
      <c r="V90" s="592"/>
      <c r="W90" s="592"/>
      <c r="X90" s="592"/>
      <c r="Y90" s="599"/>
      <c r="AA90" s="600"/>
    </row>
    <row r="91" spans="2:27" s="595" customFormat="1" ht="15" customHeight="1" x14ac:dyDescent="0.3">
      <c r="B91" s="879"/>
      <c r="C91" s="880"/>
      <c r="D91" s="880"/>
      <c r="E91" s="602"/>
      <c r="F91" s="835"/>
      <c r="G91" s="597"/>
      <c r="H91" s="591"/>
      <c r="I91" s="790"/>
      <c r="J91" s="592"/>
      <c r="K91" s="803"/>
      <c r="L91" s="592"/>
      <c r="M91" s="803"/>
      <c r="N91" s="592"/>
      <c r="O91" s="803"/>
      <c r="P91" s="592"/>
      <c r="Q91" s="830"/>
      <c r="R91" s="592"/>
      <c r="S91" s="830"/>
      <c r="T91" s="592"/>
      <c r="U91" s="592"/>
      <c r="V91" s="592"/>
      <c r="W91" s="592"/>
      <c r="X91" s="592"/>
      <c r="Y91" s="599"/>
      <c r="AA91" s="600"/>
    </row>
    <row r="92" spans="2:27" s="595" customFormat="1" ht="15" customHeight="1" x14ac:dyDescent="0.3">
      <c r="B92" s="882"/>
      <c r="C92" s="883" t="str">
        <f>'[2]Analisa SNI'!F3688</f>
        <v>Memasang 1 unit pintu PVC+ accessories</v>
      </c>
      <c r="D92" s="883"/>
      <c r="E92" s="884"/>
      <c r="F92" s="854">
        <f>I92</f>
        <v>1</v>
      </c>
      <c r="G92" s="855" t="s">
        <v>307</v>
      </c>
      <c r="H92" s="856"/>
      <c r="I92" s="857">
        <v>1</v>
      </c>
      <c r="J92" s="828" t="s">
        <v>308</v>
      </c>
      <c r="K92" s="858"/>
      <c r="L92" s="828"/>
      <c r="M92" s="858"/>
      <c r="N92" s="828"/>
      <c r="O92" s="803"/>
      <c r="P92" s="592"/>
      <c r="Q92" s="830"/>
      <c r="R92" s="592"/>
      <c r="S92" s="830"/>
      <c r="T92" s="592"/>
      <c r="U92" s="592"/>
      <c r="V92" s="592"/>
      <c r="W92" s="592"/>
      <c r="X92" s="592"/>
      <c r="Y92" s="599"/>
      <c r="AA92" s="600"/>
    </row>
    <row r="93" spans="2:27" s="595" customFormat="1" ht="33" customHeight="1" x14ac:dyDescent="0.3">
      <c r="B93" s="885">
        <v>1</v>
      </c>
      <c r="C93" s="1605" t="s">
        <v>1145</v>
      </c>
      <c r="D93" s="1606"/>
      <c r="E93" s="1607"/>
      <c r="F93" s="886">
        <f>M93</f>
        <v>13.25</v>
      </c>
      <c r="G93" s="887" t="s">
        <v>309</v>
      </c>
      <c r="H93" s="887" t="s">
        <v>732</v>
      </c>
      <c r="I93" s="888">
        <v>2.5</v>
      </c>
      <c r="J93" s="889" t="s">
        <v>8</v>
      </c>
      <c r="K93" s="890">
        <v>2.65</v>
      </c>
      <c r="L93" s="889" t="s">
        <v>10</v>
      </c>
      <c r="M93" s="891">
        <f>(I93*K93)*2</f>
        <v>13.25</v>
      </c>
      <c r="N93" s="889" t="s">
        <v>309</v>
      </c>
      <c r="O93" s="791"/>
      <c r="P93" s="592"/>
      <c r="Q93" s="830"/>
      <c r="R93" s="592"/>
      <c r="S93" s="830"/>
      <c r="T93" s="592"/>
      <c r="U93" s="592"/>
      <c r="V93" s="592"/>
      <c r="W93" s="592"/>
      <c r="X93" s="592"/>
      <c r="Y93" s="599"/>
      <c r="AA93" s="600"/>
    </row>
    <row r="94" spans="2:27" s="595" customFormat="1" ht="15" customHeight="1" x14ac:dyDescent="0.3">
      <c r="B94" s="885"/>
      <c r="C94" s="893"/>
      <c r="D94" s="893"/>
      <c r="E94" s="894"/>
      <c r="F94" s="886"/>
      <c r="G94" s="887"/>
      <c r="H94" s="887"/>
      <c r="I94" s="888"/>
      <c r="J94" s="889"/>
      <c r="K94" s="890"/>
      <c r="L94" s="889"/>
      <c r="M94" s="891"/>
      <c r="N94" s="889"/>
      <c r="O94" s="892"/>
      <c r="P94" s="828"/>
      <c r="Q94" s="860"/>
      <c r="R94" s="828"/>
      <c r="S94" s="860"/>
      <c r="T94" s="828"/>
      <c r="U94" s="828"/>
      <c r="V94" s="828"/>
      <c r="W94" s="828"/>
      <c r="X94" s="828"/>
      <c r="Y94" s="850"/>
      <c r="AA94" s="600"/>
    </row>
    <row r="95" spans="2:27" s="595" customFormat="1" ht="15" x14ac:dyDescent="0.3">
      <c r="B95" s="829" t="s">
        <v>542</v>
      </c>
      <c r="C95" s="831" t="str">
        <f>'[2]Analisa SNI'!$F$4153</f>
        <v>PEKERJAAN PENUTUP ATAP</v>
      </c>
      <c r="D95" s="831"/>
      <c r="E95" s="1270"/>
      <c r="F95" s="840"/>
      <c r="G95" s="794"/>
      <c r="H95" s="847"/>
      <c r="I95" s="841"/>
      <c r="J95" s="798"/>
      <c r="K95" s="798"/>
      <c r="L95" s="798"/>
      <c r="M95" s="798"/>
      <c r="N95" s="798"/>
      <c r="O95" s="798"/>
      <c r="P95" s="798"/>
      <c r="Q95" s="798"/>
      <c r="R95" s="798"/>
      <c r="S95" s="1271"/>
      <c r="T95" s="798"/>
      <c r="U95" s="798"/>
      <c r="V95" s="798"/>
      <c r="W95" s="798"/>
      <c r="X95" s="798"/>
      <c r="Y95" s="801"/>
      <c r="AA95" s="600"/>
    </row>
    <row r="96" spans="2:27" s="595" customFormat="1" ht="15" x14ac:dyDescent="0.3">
      <c r="B96" s="601">
        <v>1</v>
      </c>
      <c r="C96" s="838" t="str">
        <f>'[2]Analisa SNI'!$F$4237</f>
        <v>Memasang 1 m2 penutup atap Zincalume</v>
      </c>
      <c r="D96" s="838"/>
      <c r="E96" s="602"/>
      <c r="F96" s="603">
        <f>O102</f>
        <v>125.95199999999998</v>
      </c>
      <c r="G96" s="597" t="s">
        <v>309</v>
      </c>
      <c r="H96" s="591" t="s">
        <v>724</v>
      </c>
      <c r="I96" s="790">
        <f>(14.4+7.2)/2</f>
        <v>10.8</v>
      </c>
      <c r="J96" s="592" t="s">
        <v>8</v>
      </c>
      <c r="K96" s="803">
        <v>3.84</v>
      </c>
      <c r="L96" s="592" t="s">
        <v>8</v>
      </c>
      <c r="M96" s="803">
        <v>1</v>
      </c>
      <c r="N96" s="592" t="s">
        <v>10</v>
      </c>
      <c r="O96" s="803">
        <f t="shared" ref="O96:O101" si="1">I96*K96*M96</f>
        <v>41.472000000000001</v>
      </c>
      <c r="P96" s="592" t="s">
        <v>309</v>
      </c>
      <c r="Q96" s="808" t="s">
        <v>1040</v>
      </c>
      <c r="R96" s="592"/>
      <c r="S96" s="593"/>
      <c r="T96" s="592"/>
      <c r="U96" s="592"/>
      <c r="V96" s="592"/>
      <c r="W96" s="592"/>
      <c r="X96" s="592"/>
      <c r="Y96" s="599"/>
      <c r="AA96" s="600"/>
    </row>
    <row r="97" spans="2:27" s="595" customFormat="1" ht="15" x14ac:dyDescent="0.3">
      <c r="B97" s="601"/>
      <c r="C97" s="838"/>
      <c r="D97" s="838"/>
      <c r="E97" s="602"/>
      <c r="F97" s="603"/>
      <c r="G97" s="604"/>
      <c r="H97" s="594"/>
      <c r="I97" s="790">
        <f>(9.2+2)/2</f>
        <v>5.6</v>
      </c>
      <c r="J97" s="592" t="s">
        <v>8</v>
      </c>
      <c r="K97" s="803">
        <v>3.84</v>
      </c>
      <c r="L97" s="592" t="s">
        <v>8</v>
      </c>
      <c r="M97" s="803">
        <v>1</v>
      </c>
      <c r="N97" s="592" t="s">
        <v>10</v>
      </c>
      <c r="O97" s="803">
        <f t="shared" si="1"/>
        <v>21.503999999999998</v>
      </c>
      <c r="P97" s="592" t="s">
        <v>309</v>
      </c>
      <c r="Q97" s="1319" t="s">
        <v>1041</v>
      </c>
      <c r="R97" s="592"/>
      <c r="S97" s="593"/>
      <c r="T97" s="592"/>
      <c r="U97" s="592"/>
      <c r="V97" s="592"/>
      <c r="W97" s="592"/>
      <c r="X97" s="592"/>
      <c r="Y97" s="599"/>
      <c r="AA97" s="600"/>
    </row>
    <row r="98" spans="2:27" s="595" customFormat="1" ht="15" x14ac:dyDescent="0.3">
      <c r="B98" s="601"/>
      <c r="C98" s="838"/>
      <c r="D98" s="838"/>
      <c r="E98" s="602"/>
      <c r="F98" s="603"/>
      <c r="G98" s="604"/>
      <c r="H98" s="594"/>
      <c r="I98" s="790">
        <f>7.2/2</f>
        <v>3.6</v>
      </c>
      <c r="J98" s="592" t="s">
        <v>8</v>
      </c>
      <c r="K98" s="803">
        <v>3.84</v>
      </c>
      <c r="L98" s="592" t="s">
        <v>8</v>
      </c>
      <c r="M98" s="803">
        <v>1</v>
      </c>
      <c r="N98" s="592" t="s">
        <v>10</v>
      </c>
      <c r="O98" s="803">
        <f t="shared" si="1"/>
        <v>13.824</v>
      </c>
      <c r="P98" s="592" t="s">
        <v>309</v>
      </c>
      <c r="Q98" s="1319" t="s">
        <v>1042</v>
      </c>
      <c r="R98" s="592"/>
      <c r="S98" s="593"/>
      <c r="T98" s="592"/>
      <c r="U98" s="592"/>
      <c r="V98" s="592"/>
      <c r="W98" s="592"/>
      <c r="X98" s="592"/>
      <c r="Y98" s="599"/>
      <c r="AA98" s="600"/>
    </row>
    <row r="99" spans="2:27" s="595" customFormat="1" ht="15" x14ac:dyDescent="0.3">
      <c r="B99" s="601"/>
      <c r="C99" s="838"/>
      <c r="D99" s="838"/>
      <c r="E99" s="1291"/>
      <c r="F99" s="603"/>
      <c r="G99" s="604"/>
      <c r="H99" s="594"/>
      <c r="I99" s="790">
        <v>2</v>
      </c>
      <c r="J99" s="592" t="s">
        <v>8</v>
      </c>
      <c r="K99" s="803">
        <v>3.84</v>
      </c>
      <c r="L99" s="592" t="s">
        <v>8</v>
      </c>
      <c r="M99" s="803">
        <v>1</v>
      </c>
      <c r="N99" s="592" t="s">
        <v>10</v>
      </c>
      <c r="O99" s="803">
        <f t="shared" si="1"/>
        <v>7.68</v>
      </c>
      <c r="P99" s="592" t="s">
        <v>309</v>
      </c>
      <c r="Q99" s="1319" t="s">
        <v>1043</v>
      </c>
      <c r="R99" s="592"/>
      <c r="S99" s="593"/>
      <c r="T99" s="592"/>
      <c r="U99" s="592"/>
      <c r="V99" s="592"/>
      <c r="W99" s="592"/>
      <c r="X99" s="592"/>
      <c r="Y99" s="599"/>
      <c r="AA99" s="600"/>
    </row>
    <row r="100" spans="2:27" s="595" customFormat="1" ht="15" x14ac:dyDescent="0.3">
      <c r="B100" s="601"/>
      <c r="C100" s="838"/>
      <c r="D100" s="838"/>
      <c r="E100" s="1291"/>
      <c r="F100" s="603"/>
      <c r="G100" s="604"/>
      <c r="H100" s="594"/>
      <c r="I100" s="790">
        <v>7.2</v>
      </c>
      <c r="J100" s="592" t="s">
        <v>8</v>
      </c>
      <c r="K100" s="803">
        <v>3.84</v>
      </c>
      <c r="L100" s="592" t="s">
        <v>8</v>
      </c>
      <c r="M100" s="803">
        <v>1</v>
      </c>
      <c r="N100" s="592" t="s">
        <v>10</v>
      </c>
      <c r="O100" s="803">
        <f t="shared" si="1"/>
        <v>27.648</v>
      </c>
      <c r="P100" s="592" t="s">
        <v>309</v>
      </c>
      <c r="Q100" s="1319" t="s">
        <v>1044</v>
      </c>
      <c r="R100" s="592"/>
      <c r="S100" s="593"/>
      <c r="T100" s="592"/>
      <c r="U100" s="592"/>
      <c r="V100" s="592"/>
      <c r="W100" s="592"/>
      <c r="X100" s="592"/>
      <c r="Y100" s="599"/>
      <c r="AA100" s="600"/>
    </row>
    <row r="101" spans="2:27" s="595" customFormat="1" ht="15" x14ac:dyDescent="0.3">
      <c r="B101" s="601"/>
      <c r="C101" s="838"/>
      <c r="D101" s="838"/>
      <c r="E101" s="1291"/>
      <c r="F101" s="603"/>
      <c r="G101" s="604"/>
      <c r="H101" s="594"/>
      <c r="I101" s="790">
        <f>7.2/2</f>
        <v>3.6</v>
      </c>
      <c r="J101" s="592" t="s">
        <v>8</v>
      </c>
      <c r="K101" s="803">
        <v>3.84</v>
      </c>
      <c r="L101" s="592" t="s">
        <v>8</v>
      </c>
      <c r="M101" s="803">
        <v>1</v>
      </c>
      <c r="N101" s="592" t="s">
        <v>10</v>
      </c>
      <c r="O101" s="813">
        <f t="shared" si="1"/>
        <v>13.824</v>
      </c>
      <c r="P101" s="592" t="s">
        <v>309</v>
      </c>
      <c r="Q101" s="1319" t="s">
        <v>1045</v>
      </c>
      <c r="R101" s="592"/>
      <c r="S101" s="593"/>
      <c r="T101" s="592"/>
      <c r="U101" s="592"/>
      <c r="V101" s="592"/>
      <c r="W101" s="592"/>
      <c r="X101" s="592"/>
      <c r="Y101" s="599"/>
      <c r="AA101" s="600"/>
    </row>
    <row r="102" spans="2:27" s="595" customFormat="1" ht="15" x14ac:dyDescent="0.3">
      <c r="B102" s="601"/>
      <c r="C102" s="838"/>
      <c r="D102" s="838"/>
      <c r="E102" s="602"/>
      <c r="F102" s="603"/>
      <c r="G102" s="604"/>
      <c r="H102" s="594"/>
      <c r="I102" s="790"/>
      <c r="J102" s="592"/>
      <c r="K102" s="803"/>
      <c r="L102" s="592"/>
      <c r="M102" s="803"/>
      <c r="N102" s="592"/>
      <c r="O102" s="881">
        <f>SUM(O96:O101)</f>
        <v>125.95199999999998</v>
      </c>
      <c r="P102" s="851" t="s">
        <v>309</v>
      </c>
      <c r="Q102" s="786"/>
      <c r="R102" s="592"/>
      <c r="S102" s="593"/>
      <c r="T102" s="592"/>
      <c r="U102" s="592"/>
      <c r="V102" s="592"/>
      <c r="W102" s="592"/>
      <c r="X102" s="592"/>
      <c r="Y102" s="599"/>
      <c r="AA102" s="600"/>
    </row>
    <row r="103" spans="2:27" s="595" customFormat="1" ht="15" x14ac:dyDescent="0.3">
      <c r="B103" s="601">
        <v>2</v>
      </c>
      <c r="C103" s="896" t="str">
        <f>RAB!C88</f>
        <v>Pemasangan 1 m2 rangka atap baja ringan</v>
      </c>
      <c r="D103" s="896"/>
      <c r="E103" s="602"/>
      <c r="F103" s="603">
        <f>I103</f>
        <v>125.95199999999998</v>
      </c>
      <c r="G103" s="597" t="s">
        <v>309</v>
      </c>
      <c r="H103" s="591"/>
      <c r="I103" s="790">
        <f>O102</f>
        <v>125.95199999999998</v>
      </c>
      <c r="J103" s="604" t="s">
        <v>309</v>
      </c>
      <c r="K103" s="803"/>
      <c r="L103" s="592"/>
      <c r="M103" s="803"/>
      <c r="N103" s="592"/>
      <c r="O103" s="881"/>
      <c r="P103" s="851"/>
      <c r="Q103" s="786"/>
      <c r="R103" s="592"/>
      <c r="S103" s="593"/>
      <c r="T103" s="592"/>
      <c r="U103" s="592"/>
      <c r="V103" s="592"/>
      <c r="W103" s="592"/>
      <c r="X103" s="592"/>
      <c r="Y103" s="599"/>
      <c r="AA103" s="600"/>
    </row>
    <row r="104" spans="2:27" s="595" customFormat="1" ht="15" x14ac:dyDescent="0.3">
      <c r="B104" s="601">
        <v>3</v>
      </c>
      <c r="C104" s="838" t="s">
        <v>1046</v>
      </c>
      <c r="D104" s="838"/>
      <c r="E104" s="602"/>
      <c r="F104" s="603">
        <f>I104</f>
        <v>28.4</v>
      </c>
      <c r="G104" s="592" t="s">
        <v>728</v>
      </c>
      <c r="H104" s="594" t="s">
        <v>729</v>
      </c>
      <c r="I104" s="598">
        <f>3.84+3.84+7.2+3.84+2+3.84+3.84</f>
        <v>28.4</v>
      </c>
      <c r="J104" s="592" t="s">
        <v>728</v>
      </c>
      <c r="K104" s="592"/>
      <c r="L104" s="592"/>
      <c r="M104" s="592"/>
      <c r="N104" s="592"/>
      <c r="O104" s="592"/>
      <c r="P104" s="592"/>
      <c r="Q104" s="592"/>
      <c r="R104" s="592"/>
      <c r="S104" s="593"/>
      <c r="T104" s="592"/>
      <c r="U104" s="592"/>
      <c r="V104" s="592"/>
      <c r="W104" s="592"/>
      <c r="X104" s="592"/>
      <c r="Y104" s="599"/>
      <c r="AA104" s="600"/>
    </row>
    <row r="105" spans="2:27" s="595" customFormat="1" ht="15" x14ac:dyDescent="0.3">
      <c r="B105" s="885">
        <v>4</v>
      </c>
      <c r="C105" s="838" t="str">
        <f>'[2]Analisa SNI'!$F$4120</f>
        <v>Memasang 1 m1 lisplank Kalsi uk. 6 mm x 20 cm</v>
      </c>
      <c r="D105" s="838"/>
      <c r="E105" s="602"/>
      <c r="F105" s="603">
        <f t="shared" ref="F105:F117" si="2">O105</f>
        <v>47.2</v>
      </c>
      <c r="G105" s="876" t="s">
        <v>728</v>
      </c>
      <c r="H105" s="591"/>
      <c r="I105" s="869">
        <f>14.4+9.2+7.2+2+7.2+7.2</f>
        <v>47.2</v>
      </c>
      <c r="J105" s="870" t="s">
        <v>8</v>
      </c>
      <c r="K105" s="868">
        <v>1</v>
      </c>
      <c r="L105" s="592"/>
      <c r="M105" s="803"/>
      <c r="N105" s="592" t="s">
        <v>10</v>
      </c>
      <c r="O105" s="804">
        <f t="shared" ref="O105:O108" si="3">I105*K105</f>
        <v>47.2</v>
      </c>
      <c r="P105" s="592" t="s">
        <v>728</v>
      </c>
      <c r="Q105" s="592"/>
      <c r="R105" s="889"/>
      <c r="S105" s="897"/>
      <c r="T105" s="889"/>
      <c r="U105" s="889"/>
      <c r="V105" s="889"/>
      <c r="W105" s="889"/>
      <c r="X105" s="889"/>
      <c r="Y105" s="898"/>
      <c r="AA105" s="600"/>
    </row>
    <row r="106" spans="2:27" s="595" customFormat="1" ht="15" x14ac:dyDescent="0.3">
      <c r="B106" s="885">
        <v>5</v>
      </c>
      <c r="C106" s="838" t="s">
        <v>1047</v>
      </c>
      <c r="D106" s="838"/>
      <c r="E106" s="602"/>
      <c r="F106" s="596">
        <f t="shared" si="2"/>
        <v>3.84</v>
      </c>
      <c r="G106" s="876" t="s">
        <v>728</v>
      </c>
      <c r="H106" s="591"/>
      <c r="I106" s="869">
        <v>3.84</v>
      </c>
      <c r="J106" s="870" t="s">
        <v>8</v>
      </c>
      <c r="K106" s="868">
        <v>1</v>
      </c>
      <c r="L106" s="592"/>
      <c r="M106" s="803"/>
      <c r="N106" s="592" t="s">
        <v>10</v>
      </c>
      <c r="O106" s="804">
        <f t="shared" si="3"/>
        <v>3.84</v>
      </c>
      <c r="P106" s="592" t="s">
        <v>728</v>
      </c>
      <c r="Q106" s="592"/>
      <c r="R106" s="889"/>
      <c r="S106" s="897"/>
      <c r="T106" s="889"/>
      <c r="U106" s="889"/>
      <c r="V106" s="889"/>
      <c r="W106" s="889"/>
      <c r="X106" s="889"/>
      <c r="Y106" s="898"/>
      <c r="AA106" s="600"/>
    </row>
    <row r="107" spans="2:27" s="595" customFormat="1" ht="15" x14ac:dyDescent="0.3">
      <c r="B107" s="885">
        <v>6</v>
      </c>
      <c r="C107" s="838" t="s">
        <v>1074</v>
      </c>
      <c r="D107" s="838"/>
      <c r="E107" s="1291"/>
      <c r="F107" s="596">
        <f t="shared" si="2"/>
        <v>27</v>
      </c>
      <c r="G107" s="597" t="s">
        <v>309</v>
      </c>
      <c r="H107" s="591"/>
      <c r="I107" s="869">
        <v>9</v>
      </c>
      <c r="J107" s="870" t="s">
        <v>8</v>
      </c>
      <c r="K107" s="868">
        <v>3</v>
      </c>
      <c r="L107" s="592"/>
      <c r="M107" s="803"/>
      <c r="N107" s="592" t="s">
        <v>10</v>
      </c>
      <c r="O107" s="1349">
        <f t="shared" si="3"/>
        <v>27</v>
      </c>
      <c r="P107" s="592" t="s">
        <v>309</v>
      </c>
      <c r="Q107" s="592"/>
      <c r="R107" s="889"/>
      <c r="S107" s="897"/>
      <c r="T107" s="889"/>
      <c r="U107" s="889"/>
      <c r="V107" s="889"/>
      <c r="W107" s="889"/>
      <c r="X107" s="889"/>
      <c r="Y107" s="898"/>
      <c r="AA107" s="600"/>
    </row>
    <row r="108" spans="2:27" s="595" customFormat="1" ht="15" x14ac:dyDescent="0.3">
      <c r="B108" s="885">
        <v>7</v>
      </c>
      <c r="C108" s="838" t="s">
        <v>1075</v>
      </c>
      <c r="D108" s="838"/>
      <c r="E108" s="602"/>
      <c r="F108" s="596">
        <f t="shared" si="2"/>
        <v>21.6</v>
      </c>
      <c r="G108" s="597" t="s">
        <v>309</v>
      </c>
      <c r="H108" s="591"/>
      <c r="I108" s="869">
        <v>7.2</v>
      </c>
      <c r="J108" s="870" t="s">
        <v>8</v>
      </c>
      <c r="K108" s="868">
        <v>3</v>
      </c>
      <c r="L108" s="592"/>
      <c r="M108" s="803"/>
      <c r="N108" s="592" t="s">
        <v>10</v>
      </c>
      <c r="O108" s="839">
        <f t="shared" si="3"/>
        <v>21.6</v>
      </c>
      <c r="P108" s="592" t="s">
        <v>309</v>
      </c>
      <c r="Q108" s="830"/>
      <c r="R108" s="889"/>
      <c r="S108" s="897"/>
      <c r="T108" s="889"/>
      <c r="U108" s="889"/>
      <c r="V108" s="889"/>
      <c r="W108" s="889"/>
      <c r="X108" s="889"/>
      <c r="Y108" s="898"/>
      <c r="AA108" s="600"/>
    </row>
    <row r="109" spans="2:27" s="595" customFormat="1" ht="15" x14ac:dyDescent="0.3">
      <c r="B109" s="885">
        <v>8</v>
      </c>
      <c r="C109" s="1350" t="s">
        <v>1076</v>
      </c>
      <c r="D109" s="1350"/>
      <c r="E109" s="1272"/>
      <c r="F109" s="1351">
        <f>O116</f>
        <v>120.08000000000003</v>
      </c>
      <c r="G109" s="597" t="s">
        <v>309</v>
      </c>
      <c r="H109" s="1352"/>
      <c r="I109" s="790">
        <v>7.2</v>
      </c>
      <c r="J109" s="870" t="s">
        <v>8</v>
      </c>
      <c r="K109" s="868">
        <v>5.2</v>
      </c>
      <c r="L109" s="592"/>
      <c r="M109" s="803"/>
      <c r="N109" s="592" t="s">
        <v>10</v>
      </c>
      <c r="O109" s="805">
        <f>I109*K109</f>
        <v>37.440000000000005</v>
      </c>
      <c r="P109" s="592" t="s">
        <v>309</v>
      </c>
      <c r="Q109" s="891"/>
      <c r="R109" s="889"/>
      <c r="S109" s="897"/>
      <c r="T109" s="889"/>
      <c r="U109" s="889"/>
      <c r="V109" s="889"/>
      <c r="W109" s="889"/>
      <c r="X109" s="889"/>
      <c r="Y109" s="898"/>
      <c r="AA109" s="600"/>
    </row>
    <row r="110" spans="2:27" s="595" customFormat="1" ht="15" x14ac:dyDescent="0.3">
      <c r="B110" s="885"/>
      <c r="C110" s="1350"/>
      <c r="D110" s="1350"/>
      <c r="E110" s="1272"/>
      <c r="F110" s="1351"/>
      <c r="G110" s="597"/>
      <c r="H110" s="1352"/>
      <c r="I110" s="790">
        <v>7.2</v>
      </c>
      <c r="J110" s="870" t="s">
        <v>8</v>
      </c>
      <c r="K110" s="868">
        <v>5.2</v>
      </c>
      <c r="L110" s="592"/>
      <c r="M110" s="803"/>
      <c r="N110" s="592" t="s">
        <v>10</v>
      </c>
      <c r="O110" s="805">
        <f>I110*K110</f>
        <v>37.440000000000005</v>
      </c>
      <c r="P110" s="592" t="s">
        <v>309</v>
      </c>
      <c r="Q110" s="891"/>
      <c r="R110" s="889"/>
      <c r="S110" s="897"/>
      <c r="T110" s="889"/>
      <c r="U110" s="889"/>
      <c r="V110" s="889"/>
      <c r="W110" s="889"/>
      <c r="X110" s="889"/>
      <c r="Y110" s="898"/>
      <c r="AA110" s="600"/>
    </row>
    <row r="111" spans="2:27" s="595" customFormat="1" ht="15" x14ac:dyDescent="0.3">
      <c r="B111" s="885"/>
      <c r="C111" s="1350"/>
      <c r="D111" s="1350"/>
      <c r="E111" s="1272"/>
      <c r="F111" s="1351"/>
      <c r="G111" s="597"/>
      <c r="H111" s="1352"/>
      <c r="I111" s="790">
        <v>12.4</v>
      </c>
      <c r="J111" s="870" t="s">
        <v>8</v>
      </c>
      <c r="K111" s="868">
        <v>1</v>
      </c>
      <c r="L111" s="592"/>
      <c r="M111" s="803"/>
      <c r="N111" s="592" t="s">
        <v>10</v>
      </c>
      <c r="O111" s="805">
        <f>I111*K111</f>
        <v>12.4</v>
      </c>
      <c r="P111" s="592" t="s">
        <v>309</v>
      </c>
      <c r="Q111" s="891"/>
      <c r="R111" s="889"/>
      <c r="S111" s="897"/>
      <c r="T111" s="889"/>
      <c r="U111" s="889"/>
      <c r="V111" s="889"/>
      <c r="W111" s="889"/>
      <c r="X111" s="889"/>
      <c r="Y111" s="898"/>
      <c r="AA111" s="600"/>
    </row>
    <row r="112" spans="2:27" s="595" customFormat="1" ht="15" x14ac:dyDescent="0.3">
      <c r="B112" s="885"/>
      <c r="C112" s="1350"/>
      <c r="D112" s="1350"/>
      <c r="E112" s="1272"/>
      <c r="F112" s="1351"/>
      <c r="G112" s="597"/>
      <c r="H112" s="1352"/>
      <c r="I112" s="790">
        <v>7.2</v>
      </c>
      <c r="J112" s="870" t="s">
        <v>8</v>
      </c>
      <c r="K112" s="868">
        <v>1</v>
      </c>
      <c r="L112" s="870" t="s">
        <v>8</v>
      </c>
      <c r="M112" s="803">
        <v>2</v>
      </c>
      <c r="N112" s="592" t="s">
        <v>10</v>
      </c>
      <c r="O112" s="805">
        <f>I112*K112*M112</f>
        <v>14.4</v>
      </c>
      <c r="P112" s="592" t="s">
        <v>309</v>
      </c>
      <c r="Q112" s="891"/>
      <c r="R112" s="889"/>
      <c r="S112" s="897"/>
      <c r="T112" s="889"/>
      <c r="U112" s="889"/>
      <c r="V112" s="889"/>
      <c r="W112" s="889"/>
      <c r="X112" s="889"/>
      <c r="Y112" s="898"/>
      <c r="AA112" s="600"/>
    </row>
    <row r="113" spans="2:27" s="595" customFormat="1" ht="15" x14ac:dyDescent="0.3">
      <c r="B113" s="885"/>
      <c r="C113" s="1350"/>
      <c r="D113" s="1350"/>
      <c r="E113" s="1272"/>
      <c r="F113" s="1351"/>
      <c r="G113" s="597"/>
      <c r="H113" s="1352"/>
      <c r="I113" s="790">
        <v>9.1999999999999993</v>
      </c>
      <c r="J113" s="870" t="s">
        <v>8</v>
      </c>
      <c r="K113" s="868">
        <v>1</v>
      </c>
      <c r="L113" s="592"/>
      <c r="M113" s="803"/>
      <c r="N113" s="592" t="s">
        <v>10</v>
      </c>
      <c r="O113" s="805">
        <f>I113*K113</f>
        <v>9.1999999999999993</v>
      </c>
      <c r="P113" s="592" t="s">
        <v>309</v>
      </c>
      <c r="Q113" s="891"/>
      <c r="R113" s="889"/>
      <c r="S113" s="897"/>
      <c r="T113" s="889"/>
      <c r="U113" s="889"/>
      <c r="V113" s="889"/>
      <c r="W113" s="889"/>
      <c r="X113" s="889"/>
      <c r="Y113" s="898"/>
      <c r="AA113" s="600"/>
    </row>
    <row r="114" spans="2:27" s="595" customFormat="1" ht="15" x14ac:dyDescent="0.3">
      <c r="B114" s="885"/>
      <c r="C114" s="1350"/>
      <c r="D114" s="1350"/>
      <c r="E114" s="1272"/>
      <c r="F114" s="1351"/>
      <c r="G114" s="597"/>
      <c r="H114" s="1352"/>
      <c r="I114" s="790">
        <v>5.2</v>
      </c>
      <c r="J114" s="870" t="s">
        <v>8</v>
      </c>
      <c r="K114" s="868">
        <v>1</v>
      </c>
      <c r="L114" s="592"/>
      <c r="M114" s="803"/>
      <c r="N114" s="592" t="s">
        <v>10</v>
      </c>
      <c r="O114" s="805">
        <f>I114*K114</f>
        <v>5.2</v>
      </c>
      <c r="P114" s="592" t="s">
        <v>309</v>
      </c>
      <c r="Q114" s="891"/>
      <c r="R114" s="889"/>
      <c r="S114" s="897"/>
      <c r="T114" s="889"/>
      <c r="U114" s="889"/>
      <c r="V114" s="889"/>
      <c r="W114" s="889"/>
      <c r="X114" s="889"/>
      <c r="Y114" s="898"/>
      <c r="AA114" s="600"/>
    </row>
    <row r="115" spans="2:27" s="595" customFormat="1" ht="15" x14ac:dyDescent="0.3">
      <c r="B115" s="885"/>
      <c r="C115" s="1350"/>
      <c r="D115" s="1350"/>
      <c r="E115" s="1272"/>
      <c r="F115" s="1351"/>
      <c r="G115" s="597"/>
      <c r="H115" s="1352"/>
      <c r="I115" s="790">
        <v>2</v>
      </c>
      <c r="J115" s="870" t="s">
        <v>8</v>
      </c>
      <c r="K115" s="868">
        <v>2</v>
      </c>
      <c r="L115" s="592"/>
      <c r="M115" s="803"/>
      <c r="N115" s="592" t="s">
        <v>10</v>
      </c>
      <c r="O115" s="814">
        <f>I115*K115</f>
        <v>4</v>
      </c>
      <c r="P115" s="592" t="s">
        <v>309</v>
      </c>
      <c r="Q115" s="891"/>
      <c r="R115" s="889"/>
      <c r="S115" s="897"/>
      <c r="T115" s="889"/>
      <c r="U115" s="889"/>
      <c r="V115" s="889"/>
      <c r="W115" s="889"/>
      <c r="X115" s="889"/>
      <c r="Y115" s="898"/>
      <c r="AA115" s="600"/>
    </row>
    <row r="116" spans="2:27" s="595" customFormat="1" ht="15" x14ac:dyDescent="0.3">
      <c r="B116" s="885"/>
      <c r="C116" s="1350"/>
      <c r="D116" s="1350"/>
      <c r="E116" s="1272"/>
      <c r="F116" s="1351"/>
      <c r="G116" s="597"/>
      <c r="H116" s="1352"/>
      <c r="I116" s="790"/>
      <c r="J116" s="870"/>
      <c r="K116" s="868"/>
      <c r="L116" s="592"/>
      <c r="M116" s="803"/>
      <c r="N116" s="592"/>
      <c r="O116" s="839">
        <f>SUM(O109:O115)</f>
        <v>120.08000000000003</v>
      </c>
      <c r="P116" s="592" t="s">
        <v>309</v>
      </c>
      <c r="Q116" s="891"/>
      <c r="R116" s="889"/>
      <c r="S116" s="897"/>
      <c r="T116" s="889"/>
      <c r="U116" s="889"/>
      <c r="V116" s="889"/>
      <c r="W116" s="889"/>
      <c r="X116" s="889"/>
      <c r="Y116" s="898"/>
      <c r="AA116" s="600"/>
    </row>
    <row r="117" spans="2:27" s="595" customFormat="1" ht="15" x14ac:dyDescent="0.3">
      <c r="B117" s="885">
        <v>9</v>
      </c>
      <c r="C117" s="1350" t="s">
        <v>1077</v>
      </c>
      <c r="D117" s="1350"/>
      <c r="E117" s="1272"/>
      <c r="F117" s="1351">
        <f t="shared" si="2"/>
        <v>120.08000000000003</v>
      </c>
      <c r="G117" s="597" t="s">
        <v>309</v>
      </c>
      <c r="H117" s="1352"/>
      <c r="I117" s="790">
        <f>7.2*2</f>
        <v>14.4</v>
      </c>
      <c r="J117" s="870" t="s">
        <v>8</v>
      </c>
      <c r="K117" s="868">
        <f>5.2*2</f>
        <v>10.4</v>
      </c>
      <c r="L117" s="592"/>
      <c r="M117" s="803"/>
      <c r="N117" s="592" t="s">
        <v>10</v>
      </c>
      <c r="O117" s="805">
        <f>O116</f>
        <v>120.08000000000003</v>
      </c>
      <c r="P117" s="592" t="s">
        <v>309</v>
      </c>
      <c r="Q117" s="891"/>
      <c r="R117" s="889"/>
      <c r="S117" s="897"/>
      <c r="T117" s="889"/>
      <c r="U117" s="889"/>
      <c r="V117" s="889"/>
      <c r="W117" s="889"/>
      <c r="X117" s="889"/>
      <c r="Y117" s="898"/>
      <c r="AA117" s="600"/>
    </row>
    <row r="118" spans="2:27" s="595" customFormat="1" ht="15" x14ac:dyDescent="0.3">
      <c r="B118" s="605"/>
      <c r="C118" s="899"/>
      <c r="D118" s="899"/>
      <c r="E118" s="606"/>
      <c r="F118" s="607"/>
      <c r="G118" s="608"/>
      <c r="H118" s="609"/>
      <c r="I118" s="610"/>
      <c r="J118" s="611"/>
      <c r="K118" s="611"/>
      <c r="L118" s="611"/>
      <c r="M118" s="611"/>
      <c r="N118" s="611"/>
      <c r="O118" s="611"/>
      <c r="P118" s="611"/>
      <c r="Q118" s="611"/>
      <c r="R118" s="611"/>
      <c r="S118" s="612"/>
      <c r="T118" s="611"/>
      <c r="U118" s="611"/>
      <c r="V118" s="611"/>
      <c r="W118" s="611"/>
      <c r="X118" s="611"/>
      <c r="Y118" s="613"/>
      <c r="AA118" s="600"/>
    </row>
    <row r="119" spans="2:27" s="595" customFormat="1" ht="15" x14ac:dyDescent="0.3">
      <c r="B119" s="829"/>
      <c r="C119" s="1364"/>
      <c r="D119" s="1364"/>
      <c r="E119" s="1270"/>
      <c r="F119" s="840"/>
      <c r="G119" s="794"/>
      <c r="H119" s="847"/>
      <c r="I119" s="841"/>
      <c r="J119" s="798"/>
      <c r="K119" s="798"/>
      <c r="L119" s="798"/>
      <c r="M119" s="798"/>
      <c r="N119" s="798"/>
      <c r="O119" s="798"/>
      <c r="P119" s="798"/>
      <c r="Q119" s="798"/>
      <c r="R119" s="798"/>
      <c r="S119" s="1271"/>
      <c r="T119" s="798"/>
      <c r="U119" s="798"/>
      <c r="V119" s="798"/>
      <c r="W119" s="798"/>
      <c r="X119" s="798"/>
      <c r="Y119" s="801"/>
      <c r="AA119" s="600"/>
    </row>
    <row r="120" spans="2:27" s="595" customFormat="1" ht="15" x14ac:dyDescent="0.3">
      <c r="B120" s="601"/>
      <c r="C120" s="838" t="str">
        <f>RAB!C120</f>
        <v>PEKERJAAN LANTAI &amp; DINDING KERAMIK</v>
      </c>
      <c r="D120" s="838"/>
      <c r="E120" s="1292"/>
      <c r="F120" s="596"/>
      <c r="G120" s="597"/>
      <c r="H120" s="591"/>
      <c r="I120" s="598"/>
      <c r="J120" s="592"/>
      <c r="K120" s="592"/>
      <c r="L120" s="592"/>
      <c r="M120" s="592"/>
      <c r="N120" s="592"/>
      <c r="O120" s="592"/>
      <c r="P120" s="592"/>
      <c r="Q120" s="592"/>
      <c r="R120" s="592"/>
      <c r="S120" s="593"/>
      <c r="T120" s="592"/>
      <c r="U120" s="592"/>
      <c r="V120" s="592"/>
      <c r="W120" s="592"/>
      <c r="X120" s="592"/>
      <c r="Y120" s="599"/>
      <c r="AA120" s="600"/>
    </row>
    <row r="121" spans="2:27" s="595" customFormat="1" ht="15" x14ac:dyDescent="0.3">
      <c r="B121" s="601"/>
      <c r="C121" s="838" t="str">
        <f>RAB!C121</f>
        <v>Timbunan Pasir t=10 cm</v>
      </c>
      <c r="D121" s="838"/>
      <c r="E121" s="1292"/>
      <c r="F121" s="596"/>
      <c r="G121" s="597"/>
      <c r="H121" s="591"/>
      <c r="P121" s="592"/>
      <c r="Q121" s="592"/>
      <c r="R121" s="592"/>
      <c r="S121" s="593"/>
      <c r="T121" s="592"/>
      <c r="U121" s="592"/>
      <c r="V121" s="592"/>
      <c r="W121" s="592"/>
      <c r="X121" s="592"/>
      <c r="Y121" s="599"/>
      <c r="AA121" s="600"/>
    </row>
    <row r="122" spans="2:27" s="595" customFormat="1" ht="15" x14ac:dyDescent="0.3">
      <c r="B122" s="601"/>
      <c r="C122" s="838"/>
      <c r="D122" s="838"/>
      <c r="E122" s="1292" t="s">
        <v>1093</v>
      </c>
      <c r="F122" s="596">
        <f>O126</f>
        <v>9.8880000000000017</v>
      </c>
      <c r="G122" s="597" t="s">
        <v>506</v>
      </c>
      <c r="H122" s="591"/>
      <c r="I122" s="598">
        <v>7.2</v>
      </c>
      <c r="J122" s="592" t="s">
        <v>8</v>
      </c>
      <c r="K122" s="592">
        <v>5.2</v>
      </c>
      <c r="L122" s="592" t="s">
        <v>8</v>
      </c>
      <c r="M122" s="592">
        <v>0.1</v>
      </c>
      <c r="N122" s="592" t="s">
        <v>10</v>
      </c>
      <c r="O122" s="592">
        <f>I122*K122*M122</f>
        <v>3.7440000000000007</v>
      </c>
      <c r="P122" s="592"/>
      <c r="Q122" s="592"/>
      <c r="R122" s="592"/>
      <c r="S122" s="593"/>
      <c r="T122" s="592"/>
      <c r="U122" s="592"/>
      <c r="V122" s="592"/>
      <c r="W122" s="592"/>
      <c r="X122" s="592"/>
      <c r="Y122" s="599"/>
      <c r="AA122" s="600"/>
    </row>
    <row r="123" spans="2:27" s="595" customFormat="1" ht="15" x14ac:dyDescent="0.3">
      <c r="B123" s="601"/>
      <c r="C123" s="838"/>
      <c r="D123" s="838"/>
      <c r="E123" s="1362"/>
      <c r="F123" s="596"/>
      <c r="G123" s="597"/>
      <c r="H123" s="591"/>
      <c r="I123" s="598">
        <f>I122</f>
        <v>7.2</v>
      </c>
      <c r="J123" s="592" t="s">
        <v>8</v>
      </c>
      <c r="K123" s="592">
        <f>K122</f>
        <v>5.2</v>
      </c>
      <c r="L123" s="592" t="s">
        <v>8</v>
      </c>
      <c r="M123" s="592">
        <f>M122</f>
        <v>0.1</v>
      </c>
      <c r="N123" s="592" t="s">
        <v>10</v>
      </c>
      <c r="O123" s="592">
        <f>I123*K123*M123</f>
        <v>3.7440000000000007</v>
      </c>
      <c r="P123" s="592"/>
      <c r="Q123" s="592"/>
      <c r="R123" s="592"/>
      <c r="S123" s="593"/>
      <c r="T123" s="592"/>
      <c r="U123" s="592"/>
      <c r="V123" s="592"/>
      <c r="W123" s="592"/>
      <c r="X123" s="592"/>
      <c r="Y123" s="599"/>
      <c r="AA123" s="600"/>
    </row>
    <row r="124" spans="2:27" s="595" customFormat="1" ht="15" x14ac:dyDescent="0.3">
      <c r="B124" s="601"/>
      <c r="C124" s="838"/>
      <c r="D124" s="838"/>
      <c r="E124" s="1292" t="s">
        <v>1094</v>
      </c>
      <c r="F124" s="596"/>
      <c r="G124" s="597"/>
      <c r="H124" s="591"/>
      <c r="I124" s="598">
        <v>10.5</v>
      </c>
      <c r="J124" s="592" t="s">
        <v>8</v>
      </c>
      <c r="K124" s="592">
        <v>2</v>
      </c>
      <c r="L124" s="592" t="s">
        <v>8</v>
      </c>
      <c r="M124" s="592">
        <f>M123</f>
        <v>0.1</v>
      </c>
      <c r="N124" s="592" t="s">
        <v>10</v>
      </c>
      <c r="O124" s="592">
        <f>I124*K124*M124</f>
        <v>2.1</v>
      </c>
      <c r="P124" s="592"/>
      <c r="Q124" s="592"/>
      <c r="R124" s="592"/>
      <c r="S124" s="593"/>
      <c r="T124" s="592"/>
      <c r="U124" s="592"/>
      <c r="V124" s="592"/>
      <c r="W124" s="592"/>
      <c r="X124" s="592"/>
      <c r="Y124" s="599"/>
      <c r="AA124" s="600"/>
    </row>
    <row r="125" spans="2:27" s="595" customFormat="1" ht="15" x14ac:dyDescent="0.3">
      <c r="B125" s="601"/>
      <c r="C125" s="838"/>
      <c r="D125" s="838"/>
      <c r="E125" s="1292" t="s">
        <v>1095</v>
      </c>
      <c r="F125" s="596"/>
      <c r="G125" s="597"/>
      <c r="H125" s="591"/>
      <c r="I125" s="610">
        <v>1.5</v>
      </c>
      <c r="J125" s="611" t="s">
        <v>8</v>
      </c>
      <c r="K125" s="611">
        <v>2</v>
      </c>
      <c r="L125" s="611" t="s">
        <v>8</v>
      </c>
      <c r="M125" s="611">
        <f>M124</f>
        <v>0.1</v>
      </c>
      <c r="N125" s="611" t="s">
        <v>10</v>
      </c>
      <c r="O125" s="611">
        <f>I125*K125*M125</f>
        <v>0.30000000000000004</v>
      </c>
      <c r="P125" s="592"/>
      <c r="Q125" s="592"/>
      <c r="R125" s="592"/>
      <c r="S125" s="593"/>
      <c r="T125" s="592"/>
      <c r="U125" s="592"/>
      <c r="V125" s="592"/>
      <c r="W125" s="592"/>
      <c r="X125" s="592"/>
      <c r="Y125" s="599"/>
      <c r="AA125" s="600"/>
    </row>
    <row r="126" spans="2:27" s="595" customFormat="1" ht="15" x14ac:dyDescent="0.3">
      <c r="B126" s="601"/>
      <c r="C126" s="838"/>
      <c r="D126" s="838"/>
      <c r="E126" s="1292"/>
      <c r="F126" s="596"/>
      <c r="G126" s="597"/>
      <c r="H126" s="591"/>
      <c r="I126" s="904"/>
      <c r="J126" s="851"/>
      <c r="K126" s="851"/>
      <c r="L126" s="851"/>
      <c r="M126" s="851"/>
      <c r="N126" s="851"/>
      <c r="O126" s="851">
        <f>SUM(O122:O125)</f>
        <v>9.8880000000000017</v>
      </c>
      <c r="P126" s="592"/>
      <c r="Q126" s="592"/>
      <c r="R126" s="592"/>
      <c r="S126" s="593"/>
      <c r="T126" s="592"/>
      <c r="U126" s="592"/>
      <c r="V126" s="592"/>
      <c r="W126" s="592"/>
      <c r="X126" s="592"/>
      <c r="Y126" s="599"/>
      <c r="AA126" s="600"/>
    </row>
    <row r="127" spans="2:27" s="595" customFormat="1" ht="15" x14ac:dyDescent="0.3">
      <c r="B127" s="601"/>
      <c r="C127" s="838"/>
      <c r="D127" s="838"/>
      <c r="E127" s="1292"/>
      <c r="F127" s="596"/>
      <c r="G127" s="597"/>
      <c r="H127" s="591"/>
      <c r="I127" s="598"/>
      <c r="J127" s="592"/>
      <c r="K127" s="592"/>
      <c r="L127" s="592"/>
      <c r="M127" s="592"/>
      <c r="N127" s="592"/>
      <c r="O127" s="592"/>
      <c r="P127" s="592"/>
      <c r="Q127" s="592"/>
      <c r="R127" s="592"/>
      <c r="S127" s="593"/>
      <c r="T127" s="592"/>
      <c r="U127" s="592"/>
      <c r="V127" s="592"/>
      <c r="W127" s="592"/>
      <c r="X127" s="592"/>
      <c r="Y127" s="599"/>
      <c r="AA127" s="600"/>
    </row>
    <row r="128" spans="2:27" s="595" customFormat="1" ht="15" x14ac:dyDescent="0.3">
      <c r="B128" s="601"/>
      <c r="C128" s="838" t="str">
        <f>RAB!C122</f>
        <v>Membuat Rabat Beton Halaman Gudang t= 8 cm (finish Aci)</v>
      </c>
      <c r="D128" s="838"/>
      <c r="E128" s="1292"/>
      <c r="F128" s="596">
        <f>O135</f>
        <v>19.787520000000001</v>
      </c>
      <c r="G128" s="597" t="s">
        <v>506</v>
      </c>
      <c r="H128" s="591"/>
      <c r="I128" s="598"/>
      <c r="J128" s="592"/>
      <c r="K128" s="592"/>
      <c r="L128" s="592"/>
      <c r="M128" s="592"/>
      <c r="N128" s="592"/>
      <c r="O128" s="592"/>
      <c r="P128" s="592"/>
      <c r="Q128" s="592"/>
      <c r="R128" s="592"/>
      <c r="S128" s="593"/>
      <c r="T128" s="592"/>
      <c r="U128" s="592"/>
      <c r="V128" s="592"/>
      <c r="W128" s="592"/>
      <c r="X128" s="592"/>
      <c r="Y128" s="599"/>
      <c r="AA128" s="600"/>
    </row>
    <row r="129" spans="2:27" s="595" customFormat="1" ht="15" x14ac:dyDescent="0.3">
      <c r="B129" s="601"/>
      <c r="C129" s="838"/>
      <c r="D129" s="838"/>
      <c r="E129" s="1362"/>
      <c r="F129" s="596"/>
      <c r="G129" s="597"/>
      <c r="H129" s="591"/>
      <c r="I129" s="598">
        <v>7.2</v>
      </c>
      <c r="J129" s="592" t="s">
        <v>8</v>
      </c>
      <c r="K129" s="592">
        <v>3.08</v>
      </c>
      <c r="L129" s="592" t="s">
        <v>8</v>
      </c>
      <c r="M129" s="592">
        <v>0.08</v>
      </c>
      <c r="N129" s="592" t="s">
        <v>10</v>
      </c>
      <c r="O129" s="592">
        <f>I129*K129*M129</f>
        <v>1.7740800000000001</v>
      </c>
      <c r="P129" s="592"/>
      <c r="Q129" s="592"/>
      <c r="R129" s="592"/>
      <c r="S129" s="593"/>
      <c r="T129" s="592"/>
      <c r="U129" s="592"/>
      <c r="V129" s="592"/>
      <c r="W129" s="592"/>
      <c r="X129" s="592"/>
      <c r="Y129" s="599"/>
      <c r="AA129" s="600"/>
    </row>
    <row r="130" spans="2:27" s="595" customFormat="1" ht="15" x14ac:dyDescent="0.3">
      <c r="B130" s="601"/>
      <c r="C130" s="838"/>
      <c r="D130" s="838"/>
      <c r="E130" s="1362"/>
      <c r="F130" s="596"/>
      <c r="G130" s="597"/>
      <c r="H130" s="591"/>
      <c r="I130" s="598">
        <f>7.2+5.2+1.05</f>
        <v>13.450000000000001</v>
      </c>
      <c r="J130" s="592" t="s">
        <v>8</v>
      </c>
      <c r="K130" s="592">
        <v>1.08</v>
      </c>
      <c r="L130" s="592" t="s">
        <v>8</v>
      </c>
      <c r="M130" s="592">
        <f>M129</f>
        <v>0.08</v>
      </c>
      <c r="N130" s="592" t="s">
        <v>10</v>
      </c>
      <c r="O130" s="592">
        <f t="shared" ref="O130:O137" si="4">I130*K130*M130</f>
        <v>1.1620800000000002</v>
      </c>
      <c r="P130" s="592"/>
      <c r="Q130" s="592"/>
      <c r="R130" s="592"/>
      <c r="S130" s="593"/>
      <c r="T130" s="592"/>
      <c r="U130" s="592"/>
      <c r="V130" s="592"/>
      <c r="W130" s="592"/>
      <c r="X130" s="592"/>
      <c r="Y130" s="599"/>
      <c r="AA130" s="600"/>
    </row>
    <row r="131" spans="2:27" s="595" customFormat="1" ht="15" x14ac:dyDescent="0.3">
      <c r="B131" s="601"/>
      <c r="C131" s="838"/>
      <c r="D131" s="838"/>
      <c r="E131" s="1362"/>
      <c r="F131" s="596"/>
      <c r="G131" s="597"/>
      <c r="H131" s="591"/>
      <c r="I131" s="598">
        <v>5.2</v>
      </c>
      <c r="J131" s="592" t="s">
        <v>8</v>
      </c>
      <c r="K131" s="592">
        <f>K130</f>
        <v>1.08</v>
      </c>
      <c r="L131" s="592" t="s">
        <v>8</v>
      </c>
      <c r="M131" s="592">
        <f>M130</f>
        <v>0.08</v>
      </c>
      <c r="N131" s="592" t="s">
        <v>10</v>
      </c>
      <c r="O131" s="592">
        <f t="shared" si="4"/>
        <v>0.44928000000000007</v>
      </c>
      <c r="P131" s="592"/>
      <c r="Q131" s="592"/>
      <c r="R131" s="592"/>
      <c r="S131" s="593"/>
      <c r="T131" s="592"/>
      <c r="U131" s="592"/>
      <c r="V131" s="592"/>
      <c r="W131" s="592"/>
      <c r="X131" s="592"/>
      <c r="Y131" s="599"/>
      <c r="AA131" s="600"/>
    </row>
    <row r="132" spans="2:27" s="595" customFormat="1" ht="15" x14ac:dyDescent="0.3">
      <c r="B132" s="601"/>
      <c r="C132" s="838"/>
      <c r="D132" s="838"/>
      <c r="E132" s="1362"/>
      <c r="F132" s="596"/>
      <c r="G132" s="597"/>
      <c r="H132" s="591"/>
      <c r="I132" s="598">
        <f>I131</f>
        <v>5.2</v>
      </c>
      <c r="J132" s="592" t="s">
        <v>8</v>
      </c>
      <c r="K132" s="592">
        <f>K131</f>
        <v>1.08</v>
      </c>
      <c r="L132" s="592" t="s">
        <v>8</v>
      </c>
      <c r="M132" s="592">
        <f>M131</f>
        <v>0.08</v>
      </c>
      <c r="N132" s="592" t="s">
        <v>10</v>
      </c>
      <c r="O132" s="592">
        <f t="shared" si="4"/>
        <v>0.44928000000000007</v>
      </c>
      <c r="P132" s="592"/>
      <c r="Q132" s="592"/>
      <c r="R132" s="592"/>
      <c r="S132" s="593"/>
      <c r="T132" s="592"/>
      <c r="U132" s="592"/>
      <c r="V132" s="592"/>
      <c r="W132" s="592"/>
      <c r="X132" s="592"/>
      <c r="Y132" s="599"/>
      <c r="AA132" s="600"/>
    </row>
    <row r="133" spans="2:27" s="595" customFormat="1" ht="15" x14ac:dyDescent="0.3">
      <c r="B133" s="601"/>
      <c r="C133" s="838"/>
      <c r="D133" s="838"/>
      <c r="E133" s="1463"/>
      <c r="F133" s="596"/>
      <c r="G133" s="597"/>
      <c r="H133" s="591"/>
      <c r="I133" s="598">
        <v>8.6999999999999993</v>
      </c>
      <c r="J133" s="592" t="s">
        <v>8</v>
      </c>
      <c r="K133" s="592">
        <v>20</v>
      </c>
      <c r="L133" s="592" t="s">
        <v>8</v>
      </c>
      <c r="M133" s="592">
        <f>M132</f>
        <v>0.08</v>
      </c>
      <c r="N133" s="592" t="s">
        <v>10</v>
      </c>
      <c r="O133" s="592">
        <f t="shared" ref="O133" si="5">I133*K133*M133</f>
        <v>13.92</v>
      </c>
      <c r="P133" s="592"/>
      <c r="Q133" s="592"/>
      <c r="R133" s="592"/>
      <c r="S133" s="593"/>
      <c r="T133" s="592"/>
      <c r="U133" s="592"/>
      <c r="V133" s="592"/>
      <c r="W133" s="592"/>
      <c r="X133" s="592"/>
      <c r="Y133" s="599"/>
      <c r="AA133" s="600"/>
    </row>
    <row r="134" spans="2:27" s="595" customFormat="1" ht="15" x14ac:dyDescent="0.3">
      <c r="B134" s="601"/>
      <c r="C134" s="838"/>
      <c r="D134" s="838"/>
      <c r="E134" s="1362"/>
      <c r="F134" s="596"/>
      <c r="G134" s="597"/>
      <c r="H134" s="591"/>
      <c r="I134" s="610">
        <v>8.25</v>
      </c>
      <c r="J134" s="611" t="s">
        <v>8</v>
      </c>
      <c r="K134" s="611">
        <f>K129</f>
        <v>3.08</v>
      </c>
      <c r="L134" s="611" t="s">
        <v>8</v>
      </c>
      <c r="M134" s="611">
        <f>M132</f>
        <v>0.08</v>
      </c>
      <c r="N134" s="611" t="s">
        <v>10</v>
      </c>
      <c r="O134" s="611">
        <f t="shared" si="4"/>
        <v>2.0327999999999999</v>
      </c>
      <c r="P134" s="592"/>
      <c r="Q134" s="592"/>
      <c r="R134" s="592"/>
      <c r="S134" s="593"/>
      <c r="T134" s="592"/>
      <c r="U134" s="592"/>
      <c r="V134" s="592"/>
      <c r="W134" s="592"/>
      <c r="X134" s="592"/>
      <c r="Y134" s="599"/>
      <c r="AA134" s="600"/>
    </row>
    <row r="135" spans="2:27" s="595" customFormat="1" ht="15" x14ac:dyDescent="0.3">
      <c r="B135" s="601"/>
      <c r="C135" s="838"/>
      <c r="D135" s="838"/>
      <c r="E135" s="1362"/>
      <c r="F135" s="596"/>
      <c r="G135" s="597"/>
      <c r="H135" s="591"/>
      <c r="I135" s="904"/>
      <c r="J135" s="851"/>
      <c r="K135" s="851"/>
      <c r="L135" s="851"/>
      <c r="M135" s="851"/>
      <c r="N135" s="851"/>
      <c r="O135" s="851">
        <f>SUM(O129:O134)</f>
        <v>19.787520000000001</v>
      </c>
      <c r="P135" s="592"/>
      <c r="Q135" s="592"/>
      <c r="R135" s="592"/>
      <c r="S135" s="593"/>
      <c r="T135" s="592"/>
      <c r="U135" s="592"/>
      <c r="V135" s="592"/>
      <c r="W135" s="592"/>
      <c r="X135" s="592"/>
      <c r="Y135" s="599"/>
      <c r="AA135" s="600"/>
    </row>
    <row r="136" spans="2:27" s="595" customFormat="1" ht="15" x14ac:dyDescent="0.3">
      <c r="B136" s="601"/>
      <c r="C136" s="838"/>
      <c r="D136" s="838"/>
      <c r="E136" s="1362"/>
      <c r="F136" s="596"/>
      <c r="G136" s="597"/>
      <c r="H136" s="591"/>
      <c r="I136" s="904"/>
      <c r="J136" s="851"/>
      <c r="K136" s="851"/>
      <c r="L136" s="851"/>
      <c r="M136" s="851"/>
      <c r="N136" s="851"/>
      <c r="O136" s="828"/>
      <c r="P136" s="592"/>
      <c r="Q136" s="592"/>
      <c r="R136" s="592"/>
      <c r="S136" s="593"/>
      <c r="T136" s="592"/>
      <c r="U136" s="592"/>
      <c r="V136" s="592"/>
      <c r="W136" s="592"/>
      <c r="X136" s="592"/>
      <c r="Y136" s="599"/>
      <c r="AA136" s="600"/>
    </row>
    <row r="137" spans="2:27" s="595" customFormat="1" ht="15" x14ac:dyDescent="0.3">
      <c r="B137" s="601"/>
      <c r="C137" s="838" t="str">
        <f>RAB!C123</f>
        <v>Membuat Rabat Beton Lantai Gudang t = 10 cm (Finish Aci)</v>
      </c>
      <c r="D137" s="838"/>
      <c r="E137" s="1292"/>
      <c r="F137" s="596">
        <f>O137</f>
        <v>3.7440000000000007</v>
      </c>
      <c r="G137" s="597" t="s">
        <v>506</v>
      </c>
      <c r="H137" s="591"/>
      <c r="I137" s="598">
        <f>I129</f>
        <v>7.2</v>
      </c>
      <c r="J137" s="592" t="s">
        <v>8</v>
      </c>
      <c r="K137" s="592">
        <f>I132</f>
        <v>5.2</v>
      </c>
      <c r="L137" s="592" t="s">
        <v>8</v>
      </c>
      <c r="M137" s="592">
        <v>0.1</v>
      </c>
      <c r="N137" s="592" t="s">
        <v>10</v>
      </c>
      <c r="O137" s="611">
        <f t="shared" si="4"/>
        <v>3.7440000000000007</v>
      </c>
      <c r="P137" s="592"/>
      <c r="Q137" s="592"/>
      <c r="R137" s="592"/>
      <c r="S137" s="593"/>
      <c r="T137" s="592"/>
      <c r="U137" s="592"/>
      <c r="V137" s="592"/>
      <c r="W137" s="592"/>
      <c r="X137" s="592"/>
      <c r="Y137" s="599"/>
      <c r="AA137" s="600"/>
    </row>
    <row r="138" spans="2:27" s="595" customFormat="1" ht="15" x14ac:dyDescent="0.3">
      <c r="B138" s="601"/>
      <c r="C138" s="838" t="str">
        <f>RAB!C124</f>
        <v>Memasang Lantai keramik 60 x 60</v>
      </c>
      <c r="D138" s="838"/>
      <c r="E138" s="1292"/>
      <c r="F138" s="596">
        <f>O142</f>
        <v>65.488799999999998</v>
      </c>
      <c r="G138" s="597" t="s">
        <v>435</v>
      </c>
      <c r="H138" s="591"/>
      <c r="I138" s="598"/>
      <c r="J138" s="592"/>
      <c r="K138" s="592"/>
      <c r="L138" s="592"/>
      <c r="M138" s="592"/>
      <c r="N138" s="592"/>
      <c r="O138" s="592"/>
      <c r="P138" s="592"/>
      <c r="Q138" s="592"/>
      <c r="R138" s="592"/>
      <c r="S138" s="593"/>
      <c r="T138" s="592"/>
      <c r="U138" s="592"/>
      <c r="V138" s="592"/>
      <c r="W138" s="592"/>
      <c r="X138" s="592"/>
      <c r="Y138" s="599"/>
      <c r="AA138" s="600"/>
    </row>
    <row r="139" spans="2:27" s="595" customFormat="1" ht="15" x14ac:dyDescent="0.3">
      <c r="B139" s="601"/>
      <c r="C139" s="838"/>
      <c r="D139" s="838"/>
      <c r="E139" s="1362" t="s">
        <v>1097</v>
      </c>
      <c r="F139" s="596"/>
      <c r="G139" s="597"/>
      <c r="H139" s="591"/>
      <c r="I139" s="598">
        <f>I137</f>
        <v>7.2</v>
      </c>
      <c r="J139" s="592" t="s">
        <v>8</v>
      </c>
      <c r="K139" s="592">
        <f>K137</f>
        <v>5.2</v>
      </c>
      <c r="L139" s="592" t="s">
        <v>694</v>
      </c>
      <c r="M139" s="592">
        <f>2*1.5</f>
        <v>3</v>
      </c>
      <c r="N139" s="592" t="s">
        <v>10</v>
      </c>
      <c r="O139" s="592">
        <f>(I139*K139)-M139</f>
        <v>34.440000000000005</v>
      </c>
      <c r="P139" s="592"/>
      <c r="Q139" s="592"/>
      <c r="R139" s="592"/>
      <c r="S139" s="593"/>
      <c r="T139" s="592"/>
      <c r="U139" s="592"/>
      <c r="V139" s="592"/>
      <c r="W139" s="592"/>
      <c r="X139" s="592"/>
      <c r="Y139" s="599"/>
      <c r="AA139" s="600"/>
    </row>
    <row r="140" spans="2:27" s="595" customFormat="1" ht="15" x14ac:dyDescent="0.3">
      <c r="B140" s="601"/>
      <c r="C140" s="838"/>
      <c r="D140" s="838"/>
      <c r="E140" s="1362" t="s">
        <v>1098</v>
      </c>
      <c r="F140" s="596"/>
      <c r="G140" s="597"/>
      <c r="H140" s="591"/>
      <c r="I140" s="598">
        <f>2.16+7.2</f>
        <v>9.36</v>
      </c>
      <c r="J140" s="592" t="s">
        <v>8</v>
      </c>
      <c r="K140" s="592">
        <v>3.08</v>
      </c>
      <c r="L140" s="592"/>
      <c r="M140" s="592"/>
      <c r="N140" s="592" t="s">
        <v>10</v>
      </c>
      <c r="O140" s="592">
        <f>I140*K140</f>
        <v>28.828799999999998</v>
      </c>
      <c r="P140" s="592"/>
      <c r="Q140" s="592"/>
      <c r="R140" s="592"/>
      <c r="S140" s="593"/>
      <c r="T140" s="592"/>
      <c r="U140" s="592"/>
      <c r="V140" s="592"/>
      <c r="W140" s="592"/>
      <c r="X140" s="592"/>
      <c r="Y140" s="599"/>
      <c r="AA140" s="600"/>
    </row>
    <row r="141" spans="2:27" s="595" customFormat="1" ht="15" x14ac:dyDescent="0.3">
      <c r="B141" s="601"/>
      <c r="C141" s="838"/>
      <c r="D141" s="838"/>
      <c r="E141" s="1463" t="s">
        <v>1285</v>
      </c>
      <c r="F141" s="596"/>
      <c r="G141" s="597"/>
      <c r="H141" s="591"/>
      <c r="I141" s="598">
        <v>3.7</v>
      </c>
      <c r="J141" s="592" t="s">
        <v>8</v>
      </c>
      <c r="K141" s="592">
        <v>0.6</v>
      </c>
      <c r="L141" s="592"/>
      <c r="M141" s="592"/>
      <c r="N141" s="592" t="s">
        <v>10</v>
      </c>
      <c r="O141" s="592">
        <f>I141*K141</f>
        <v>2.2200000000000002</v>
      </c>
      <c r="P141" s="592"/>
      <c r="Q141" s="592"/>
      <c r="R141" s="592"/>
      <c r="S141" s="593"/>
      <c r="T141" s="592"/>
      <c r="U141" s="592"/>
      <c r="V141" s="592"/>
      <c r="W141" s="592"/>
      <c r="X141" s="592"/>
      <c r="Y141" s="599"/>
      <c r="AA141" s="600"/>
    </row>
    <row r="142" spans="2:27" s="595" customFormat="1" ht="15" x14ac:dyDescent="0.3">
      <c r="B142" s="601"/>
      <c r="C142" s="838"/>
      <c r="D142" s="838"/>
      <c r="E142" s="1362"/>
      <c r="F142" s="596"/>
      <c r="G142" s="597"/>
      <c r="H142" s="591"/>
      <c r="I142" s="598"/>
      <c r="J142" s="592"/>
      <c r="K142" s="592"/>
      <c r="L142" s="592"/>
      <c r="M142" s="592"/>
      <c r="N142" s="592"/>
      <c r="O142" s="592">
        <f>SUM(O139:O141)</f>
        <v>65.488799999999998</v>
      </c>
      <c r="P142" s="592"/>
      <c r="Q142" s="592"/>
      <c r="R142" s="592"/>
      <c r="S142" s="593"/>
      <c r="T142" s="592"/>
      <c r="U142" s="592"/>
      <c r="V142" s="592"/>
      <c r="W142" s="592"/>
      <c r="X142" s="592"/>
      <c r="Y142" s="599"/>
      <c r="AA142" s="600"/>
    </row>
    <row r="143" spans="2:27" s="595" customFormat="1" ht="15" x14ac:dyDescent="0.3">
      <c r="B143" s="601"/>
      <c r="C143" s="838" t="str">
        <f>RAB!C125</f>
        <v>Memasang Dinding Keramik 20 x 25</v>
      </c>
      <c r="D143" s="838"/>
      <c r="E143" s="1292"/>
      <c r="F143" s="596"/>
      <c r="G143" s="597"/>
      <c r="H143" s="591"/>
      <c r="I143" s="598"/>
      <c r="J143" s="592"/>
      <c r="K143" s="592"/>
      <c r="L143" s="592"/>
      <c r="M143" s="592"/>
      <c r="N143" s="592"/>
      <c r="O143" s="592"/>
      <c r="P143" s="592"/>
      <c r="Q143" s="592"/>
      <c r="R143" s="592"/>
      <c r="S143" s="593"/>
      <c r="T143" s="592"/>
      <c r="U143" s="592"/>
      <c r="V143" s="592"/>
      <c r="W143" s="592"/>
      <c r="X143" s="592"/>
      <c r="Y143" s="599"/>
      <c r="AA143" s="600"/>
    </row>
    <row r="144" spans="2:27" s="595" customFormat="1" ht="15" x14ac:dyDescent="0.3">
      <c r="B144" s="601"/>
      <c r="C144" s="838" t="str">
        <f>RAB!C126</f>
        <v>Memasang Lantai keramik 20 x 20</v>
      </c>
      <c r="D144" s="838"/>
      <c r="E144" s="1292"/>
      <c r="F144" s="596"/>
      <c r="G144" s="597"/>
      <c r="H144" s="591"/>
      <c r="I144" s="598"/>
      <c r="J144" s="592"/>
      <c r="K144" s="592"/>
      <c r="L144" s="592"/>
      <c r="M144" s="592"/>
      <c r="N144" s="592"/>
      <c r="O144" s="592"/>
      <c r="P144" s="592"/>
      <c r="Q144" s="592"/>
      <c r="R144" s="592"/>
      <c r="S144" s="593"/>
      <c r="T144" s="592"/>
      <c r="U144" s="592"/>
      <c r="V144" s="592"/>
      <c r="W144" s="592"/>
      <c r="X144" s="592"/>
      <c r="Y144" s="599"/>
      <c r="AA144" s="600"/>
    </row>
    <row r="145" spans="2:27" s="595" customFormat="1" ht="15" x14ac:dyDescent="0.3">
      <c r="B145" s="601"/>
      <c r="C145" s="838"/>
      <c r="D145" s="838"/>
      <c r="E145" s="1292"/>
      <c r="F145" s="596"/>
      <c r="G145" s="597"/>
      <c r="H145" s="591"/>
      <c r="I145" s="598"/>
      <c r="J145" s="592"/>
      <c r="K145" s="592"/>
      <c r="L145" s="592"/>
      <c r="M145" s="592"/>
      <c r="N145" s="592"/>
      <c r="O145" s="592"/>
      <c r="P145" s="592"/>
      <c r="Q145" s="592"/>
      <c r="R145" s="592"/>
      <c r="S145" s="593"/>
      <c r="T145" s="592"/>
      <c r="U145" s="592"/>
      <c r="V145" s="592"/>
      <c r="W145" s="592"/>
      <c r="X145" s="592"/>
      <c r="Y145" s="599"/>
      <c r="AA145" s="600"/>
    </row>
    <row r="146" spans="2:27" s="595" customFormat="1" ht="15" x14ac:dyDescent="0.3">
      <c r="B146" s="601"/>
      <c r="C146" s="838"/>
      <c r="D146" s="838"/>
      <c r="E146" s="1292"/>
      <c r="F146" s="596"/>
      <c r="G146" s="597"/>
      <c r="H146" s="591"/>
      <c r="I146" s="598"/>
      <c r="J146" s="592"/>
      <c r="K146" s="592"/>
      <c r="L146" s="592"/>
      <c r="M146" s="592"/>
      <c r="N146" s="592"/>
      <c r="O146" s="592"/>
      <c r="P146" s="592"/>
      <c r="Q146" s="592"/>
      <c r="R146" s="592"/>
      <c r="S146" s="593"/>
      <c r="T146" s="592"/>
      <c r="U146" s="592"/>
      <c r="V146" s="592"/>
      <c r="W146" s="592"/>
      <c r="X146" s="592"/>
      <c r="Y146" s="599"/>
      <c r="AA146" s="600"/>
    </row>
    <row r="147" spans="2:27" s="595" customFormat="1" ht="15" x14ac:dyDescent="0.3">
      <c r="B147" s="601"/>
      <c r="C147" s="838"/>
      <c r="D147" s="838"/>
      <c r="E147" s="1292"/>
      <c r="F147" s="596"/>
      <c r="G147" s="597"/>
      <c r="H147" s="591"/>
      <c r="I147" s="598"/>
      <c r="J147" s="592"/>
      <c r="K147" s="592"/>
      <c r="L147" s="592"/>
      <c r="M147" s="592"/>
      <c r="N147" s="592"/>
      <c r="O147" s="592"/>
      <c r="P147" s="592"/>
      <c r="Q147" s="592"/>
      <c r="R147" s="592"/>
      <c r="S147" s="593"/>
      <c r="T147" s="592"/>
      <c r="U147" s="592"/>
      <c r="V147" s="592"/>
      <c r="W147" s="592"/>
      <c r="X147" s="592"/>
      <c r="Y147" s="599"/>
      <c r="AA147" s="600"/>
    </row>
    <row r="148" spans="2:27" s="595" customFormat="1" ht="15" x14ac:dyDescent="0.3">
      <c r="B148" s="601"/>
      <c r="C148" s="838"/>
      <c r="D148" s="838"/>
      <c r="E148" s="1292"/>
      <c r="F148" s="596"/>
      <c r="G148" s="597"/>
      <c r="H148" s="591"/>
      <c r="I148" s="598"/>
      <c r="J148" s="592"/>
      <c r="K148" s="592"/>
      <c r="L148" s="592"/>
      <c r="M148" s="592"/>
      <c r="N148" s="592"/>
      <c r="O148" s="592"/>
      <c r="P148" s="592"/>
      <c r="Q148" s="592"/>
      <c r="R148" s="592"/>
      <c r="S148" s="593"/>
      <c r="T148" s="592"/>
      <c r="U148" s="592"/>
      <c r="V148" s="592"/>
      <c r="W148" s="592"/>
      <c r="X148" s="592"/>
      <c r="Y148" s="599"/>
      <c r="AA148" s="600"/>
    </row>
    <row r="149" spans="2:27" s="595" customFormat="1" ht="15" customHeight="1" x14ac:dyDescent="0.3">
      <c r="B149" s="1365" t="s">
        <v>470</v>
      </c>
      <c r="C149" s="1366" t="str">
        <f>'[2]Analisa SNI'!F4568</f>
        <v>PEKERJAAN SANITAIR</v>
      </c>
      <c r="D149" s="1366"/>
      <c r="E149" s="1367"/>
      <c r="F149" s="607"/>
      <c r="G149" s="608"/>
      <c r="H149" s="608"/>
      <c r="I149" s="610"/>
      <c r="J149" s="611"/>
      <c r="K149" s="611"/>
      <c r="L149" s="611"/>
      <c r="M149" s="611"/>
      <c r="N149" s="611"/>
      <c r="O149" s="908"/>
      <c r="P149" s="611"/>
      <c r="Q149" s="611"/>
      <c r="R149" s="611"/>
      <c r="S149" s="611"/>
      <c r="T149" s="611"/>
      <c r="U149" s="611"/>
      <c r="V149" s="611"/>
      <c r="W149" s="611"/>
      <c r="X149" s="611"/>
      <c r="Y149" s="613"/>
      <c r="AA149" s="600"/>
    </row>
    <row r="150" spans="2:27" s="595" customFormat="1" ht="15" customHeight="1" x14ac:dyDescent="0.3">
      <c r="B150" s="1310">
        <v>1</v>
      </c>
      <c r="C150" s="1597" t="str">
        <f>'[2]Analisa SNI'!F4591</f>
        <v>Memasang 1 buah Bak KM fiber 45 x 45</v>
      </c>
      <c r="D150" s="1598"/>
      <c r="E150" s="1599"/>
      <c r="F150" s="1313">
        <f>K150</f>
        <v>1</v>
      </c>
      <c r="G150" s="903" t="s">
        <v>308</v>
      </c>
      <c r="H150" s="903" t="s">
        <v>731</v>
      </c>
      <c r="I150" s="904"/>
      <c r="J150" s="851"/>
      <c r="K150" s="1363">
        <v>1</v>
      </c>
      <c r="L150" s="851" t="s">
        <v>308</v>
      </c>
      <c r="M150" s="851"/>
      <c r="N150" s="851"/>
      <c r="O150" s="905"/>
      <c r="P150" s="851"/>
      <c r="Q150" s="851"/>
      <c r="R150" s="851"/>
      <c r="S150" s="851"/>
      <c r="T150" s="851"/>
      <c r="U150" s="851"/>
      <c r="V150" s="851"/>
      <c r="W150" s="851"/>
      <c r="X150" s="851"/>
      <c r="Y150" s="895"/>
      <c r="AA150" s="600"/>
    </row>
    <row r="151" spans="2:27" s="595" customFormat="1" ht="15" customHeight="1" x14ac:dyDescent="0.3">
      <c r="B151" s="601">
        <v>2</v>
      </c>
      <c r="C151" s="1600" t="str">
        <f>RAB!C100:D100</f>
        <v>Pemasangan 1 buah closet jongkok porselen</v>
      </c>
      <c r="D151" s="1601"/>
      <c r="E151" s="1586"/>
      <c r="F151" s="789">
        <f>K151</f>
        <v>1</v>
      </c>
      <c r="G151" s="597" t="s">
        <v>308</v>
      </c>
      <c r="H151" s="597" t="s">
        <v>731</v>
      </c>
      <c r="I151" s="598"/>
      <c r="J151" s="592"/>
      <c r="K151" s="830">
        <v>1</v>
      </c>
      <c r="L151" s="592" t="s">
        <v>308</v>
      </c>
      <c r="M151" s="592"/>
      <c r="N151" s="592"/>
      <c r="O151" s="791"/>
      <c r="P151" s="592"/>
      <c r="Q151" s="592"/>
      <c r="R151" s="592"/>
      <c r="S151" s="592"/>
      <c r="T151" s="592"/>
      <c r="U151" s="592"/>
      <c r="V151" s="592"/>
      <c r="W151" s="592"/>
      <c r="X151" s="592"/>
      <c r="Y151" s="599"/>
      <c r="AA151" s="600"/>
    </row>
    <row r="152" spans="2:27" s="595" customFormat="1" ht="15" customHeight="1" x14ac:dyDescent="0.3">
      <c r="B152" s="601">
        <v>3</v>
      </c>
      <c r="C152" s="1600" t="str">
        <f>RAB!C98</f>
        <v>Memasang 1 m'  PVC tipe AW ø 3/4"</v>
      </c>
      <c r="D152" s="1601"/>
      <c r="E152" s="1586"/>
      <c r="F152" s="789">
        <f>K152</f>
        <v>10</v>
      </c>
      <c r="G152" s="597" t="s">
        <v>669</v>
      </c>
      <c r="H152" s="597" t="s">
        <v>731</v>
      </c>
      <c r="I152" s="598"/>
      <c r="J152" s="592"/>
      <c r="K152" s="830">
        <v>10</v>
      </c>
      <c r="L152" s="592" t="s">
        <v>669</v>
      </c>
      <c r="M152" s="592"/>
      <c r="N152" s="592"/>
      <c r="O152" s="791"/>
      <c r="P152" s="592"/>
      <c r="Q152" s="592"/>
      <c r="R152" s="592"/>
      <c r="S152" s="592"/>
      <c r="T152" s="592"/>
      <c r="U152" s="592"/>
      <c r="V152" s="592"/>
      <c r="W152" s="592"/>
      <c r="X152" s="592"/>
      <c r="Y152" s="599"/>
      <c r="AA152" s="600"/>
    </row>
    <row r="153" spans="2:27" s="595" customFormat="1" ht="15" customHeight="1" x14ac:dyDescent="0.3">
      <c r="B153" s="601">
        <v>4</v>
      </c>
      <c r="C153" s="1584" t="str">
        <f>'[2]Analisa SNI'!F4776</f>
        <v>Memasang 1 m'  PVC tipe AW ø 3"</v>
      </c>
      <c r="D153" s="1585"/>
      <c r="E153" s="1586"/>
      <c r="F153" s="789">
        <f>K153</f>
        <v>10</v>
      </c>
      <c r="G153" s="597" t="s">
        <v>669</v>
      </c>
      <c r="H153" s="597" t="s">
        <v>476</v>
      </c>
      <c r="I153" s="598"/>
      <c r="J153" s="592"/>
      <c r="K153" s="830">
        <v>10</v>
      </c>
      <c r="L153" s="592" t="s">
        <v>669</v>
      </c>
      <c r="M153" s="592"/>
      <c r="N153" s="592"/>
      <c r="O153" s="791"/>
      <c r="P153" s="592"/>
      <c r="Q153" s="592"/>
      <c r="R153" s="592"/>
      <c r="S153" s="592"/>
      <c r="T153" s="592"/>
      <c r="U153" s="592"/>
      <c r="V153" s="592"/>
      <c r="W153" s="592"/>
      <c r="X153" s="592"/>
      <c r="Y153" s="599"/>
      <c r="AA153" s="600"/>
    </row>
    <row r="154" spans="2:27" s="595" customFormat="1" ht="15" customHeight="1" x14ac:dyDescent="0.3">
      <c r="B154" s="885">
        <v>5</v>
      </c>
      <c r="C154" s="1587" t="str">
        <f>'[2]Analisa SNI'!F4798</f>
        <v>Memasang 1 bh kran air ø 1/2"</v>
      </c>
      <c r="D154" s="1588"/>
      <c r="E154" s="1589"/>
      <c r="F154" s="886">
        <f>K154</f>
        <v>1</v>
      </c>
      <c r="G154" s="887" t="s">
        <v>308</v>
      </c>
      <c r="H154" s="887" t="s">
        <v>731</v>
      </c>
      <c r="I154" s="906"/>
      <c r="J154" s="889"/>
      <c r="K154" s="891">
        <v>1</v>
      </c>
      <c r="L154" s="889" t="s">
        <v>308</v>
      </c>
      <c r="M154" s="889"/>
      <c r="N154" s="889"/>
      <c r="O154" s="892"/>
      <c r="P154" s="889"/>
      <c r="Q154" s="889"/>
      <c r="R154" s="889"/>
      <c r="S154" s="889"/>
      <c r="T154" s="889"/>
      <c r="U154" s="889"/>
      <c r="V154" s="889"/>
      <c r="W154" s="889"/>
      <c r="X154" s="889"/>
      <c r="Y154" s="898"/>
      <c r="AA154" s="600"/>
    </row>
    <row r="155" spans="2:27" s="595" customFormat="1" ht="15" customHeight="1" x14ac:dyDescent="0.3">
      <c r="B155" s="605"/>
      <c r="C155" s="809"/>
      <c r="D155" s="809"/>
      <c r="E155" s="810"/>
      <c r="F155" s="907"/>
      <c r="G155" s="608"/>
      <c r="H155" s="608"/>
      <c r="I155" s="610"/>
      <c r="J155" s="611"/>
      <c r="K155" s="815"/>
      <c r="L155" s="611"/>
      <c r="M155" s="611"/>
      <c r="N155" s="611"/>
      <c r="O155" s="908"/>
      <c r="P155" s="611"/>
      <c r="Q155" s="611"/>
      <c r="R155" s="611"/>
      <c r="S155" s="611"/>
      <c r="T155" s="611"/>
      <c r="U155" s="611"/>
      <c r="V155" s="611"/>
      <c r="W155" s="611"/>
      <c r="X155" s="611"/>
      <c r="Y155" s="613"/>
      <c r="AA155" s="600"/>
    </row>
    <row r="156" spans="2:27" s="595" customFormat="1" ht="15" customHeight="1" x14ac:dyDescent="0.3">
      <c r="B156" s="900" t="s">
        <v>733</v>
      </c>
      <c r="C156" s="901" t="str">
        <f>'[2]Analisa SNI'!F4875</f>
        <v>PEKERJAAN ELEKTRIKAL</v>
      </c>
      <c r="D156" s="901"/>
      <c r="E156" s="902"/>
      <c r="F156" s="878"/>
      <c r="G156" s="903"/>
      <c r="H156" s="903"/>
      <c r="I156" s="904"/>
      <c r="J156" s="851"/>
      <c r="K156" s="881"/>
      <c r="L156" s="851"/>
      <c r="M156" s="851"/>
      <c r="N156" s="851"/>
      <c r="O156" s="905"/>
      <c r="P156" s="851"/>
      <c r="Q156" s="851"/>
      <c r="R156" s="851"/>
      <c r="S156" s="851"/>
      <c r="T156" s="851"/>
      <c r="U156" s="851"/>
      <c r="V156" s="851"/>
      <c r="W156" s="851"/>
      <c r="X156" s="851"/>
      <c r="Y156" s="895"/>
      <c r="AA156" s="600"/>
    </row>
    <row r="157" spans="2:27" s="595" customFormat="1" ht="15" customHeight="1" x14ac:dyDescent="0.3">
      <c r="B157" s="601">
        <v>1</v>
      </c>
      <c r="C157" s="1584" t="str">
        <f>'[2]Analisa SNI'!F4876</f>
        <v>Memasang 1 Titik Instalasi Penerangan</v>
      </c>
      <c r="D157" s="1585"/>
      <c r="E157" s="1586"/>
      <c r="F157" s="789">
        <v>13</v>
      </c>
      <c r="G157" s="597" t="s">
        <v>308</v>
      </c>
      <c r="H157" s="597" t="s">
        <v>308</v>
      </c>
      <c r="I157" s="598"/>
      <c r="J157" s="592"/>
      <c r="K157" s="830">
        <v>13</v>
      </c>
      <c r="L157" s="592" t="s">
        <v>308</v>
      </c>
      <c r="M157" s="592"/>
      <c r="N157" s="592"/>
      <c r="O157" s="791"/>
      <c r="P157" s="592"/>
      <c r="Q157" s="592"/>
      <c r="R157" s="592"/>
      <c r="S157" s="592"/>
      <c r="T157" s="592"/>
      <c r="U157" s="592"/>
      <c r="V157" s="592"/>
      <c r="W157" s="592"/>
      <c r="X157" s="592"/>
      <c r="Y157" s="599"/>
      <c r="AA157" s="600"/>
    </row>
    <row r="158" spans="2:27" s="595" customFormat="1" ht="15" customHeight="1" x14ac:dyDescent="0.3">
      <c r="B158" s="601">
        <v>2</v>
      </c>
      <c r="C158" s="909" t="str">
        <f>RAB!C108</f>
        <v>Memasang MCB Box 2 group + MCB 1P 24 2 bh</v>
      </c>
      <c r="D158" s="1259"/>
      <c r="E158" s="833"/>
      <c r="F158" s="789">
        <f>K158</f>
        <v>1</v>
      </c>
      <c r="G158" s="597" t="s">
        <v>308</v>
      </c>
      <c r="H158" s="597" t="s">
        <v>308</v>
      </c>
      <c r="I158" s="598"/>
      <c r="J158" s="592"/>
      <c r="K158" s="830">
        <v>1</v>
      </c>
      <c r="L158" s="592" t="s">
        <v>308</v>
      </c>
      <c r="M158" s="592"/>
      <c r="N158" s="592"/>
      <c r="O158" s="791"/>
      <c r="P158" s="592"/>
      <c r="Q158" s="592"/>
      <c r="R158" s="592"/>
      <c r="S158" s="592"/>
      <c r="T158" s="592"/>
      <c r="U158" s="592"/>
      <c r="V158" s="592"/>
      <c r="W158" s="592"/>
      <c r="X158" s="592"/>
      <c r="Y158" s="599"/>
      <c r="AA158" s="600"/>
    </row>
    <row r="159" spans="2:27" s="595" customFormat="1" ht="15" customHeight="1" x14ac:dyDescent="0.3">
      <c r="B159" s="601">
        <v>3</v>
      </c>
      <c r="C159" s="1584" t="str">
        <f>'[2]Analisa SNI'!F4965</f>
        <v>Memasang 1 Bh Stop Kontak, 1 Phase, 10 A, 250 VAC</v>
      </c>
      <c r="D159" s="1585"/>
      <c r="E159" s="1586"/>
      <c r="F159" s="789">
        <v>2</v>
      </c>
      <c r="G159" s="597" t="s">
        <v>308</v>
      </c>
      <c r="H159" s="597" t="s">
        <v>308</v>
      </c>
      <c r="I159" s="598"/>
      <c r="J159" s="592"/>
      <c r="K159" s="830">
        <v>2</v>
      </c>
      <c r="L159" s="592" t="s">
        <v>308</v>
      </c>
      <c r="M159" s="592"/>
      <c r="N159" s="592"/>
      <c r="O159" s="791"/>
      <c r="P159" s="592"/>
      <c r="Q159" s="592"/>
      <c r="R159" s="592"/>
      <c r="S159" s="592"/>
      <c r="T159" s="592"/>
      <c r="U159" s="592"/>
      <c r="V159" s="592"/>
      <c r="W159" s="592"/>
      <c r="X159" s="592"/>
      <c r="Y159" s="599"/>
      <c r="AA159" s="600"/>
    </row>
    <row r="160" spans="2:27" s="595" customFormat="1" ht="15" customHeight="1" x14ac:dyDescent="0.3">
      <c r="B160" s="601">
        <v>5</v>
      </c>
      <c r="C160" s="1587" t="str">
        <f>'[2]Analisa SNI'!F5013</f>
        <v>Memasang 1 Bh Lampu SL 18 Watt</v>
      </c>
      <c r="D160" s="1588"/>
      <c r="E160" s="1589"/>
      <c r="F160" s="886">
        <v>7</v>
      </c>
      <c r="G160" s="887" t="s">
        <v>58</v>
      </c>
      <c r="H160" s="887" t="s">
        <v>58</v>
      </c>
      <c r="I160" s="906"/>
      <c r="J160" s="889"/>
      <c r="K160" s="891">
        <v>7</v>
      </c>
      <c r="L160" s="889" t="s">
        <v>308</v>
      </c>
      <c r="M160" s="889"/>
      <c r="N160" s="889"/>
      <c r="O160" s="892"/>
      <c r="P160" s="889"/>
      <c r="Q160" s="889"/>
      <c r="R160" s="889"/>
      <c r="S160" s="889"/>
      <c r="T160" s="889"/>
      <c r="U160" s="889"/>
      <c r="V160" s="889"/>
      <c r="W160" s="889"/>
      <c r="X160" s="889"/>
      <c r="Y160" s="898"/>
      <c r="AA160" s="600"/>
    </row>
    <row r="161" spans="2:27" s="595" customFormat="1" ht="15" customHeight="1" x14ac:dyDescent="0.3">
      <c r="B161" s="885"/>
      <c r="C161" s="1286"/>
      <c r="D161" s="1287"/>
      <c r="E161" s="1359"/>
      <c r="F161" s="886"/>
      <c r="G161" s="1360"/>
      <c r="H161" s="1361"/>
      <c r="I161" s="889"/>
      <c r="J161" s="889"/>
      <c r="K161" s="891"/>
      <c r="L161" s="889"/>
      <c r="M161" s="889"/>
      <c r="N161" s="889"/>
      <c r="O161" s="892"/>
      <c r="P161" s="889"/>
      <c r="Q161" s="889"/>
      <c r="R161" s="889"/>
      <c r="S161" s="889"/>
      <c r="T161" s="889"/>
      <c r="U161" s="889"/>
      <c r="V161" s="889"/>
      <c r="W161" s="889"/>
      <c r="X161" s="889"/>
      <c r="Y161" s="898"/>
      <c r="AA161" s="600"/>
    </row>
    <row r="162" spans="2:27" s="595" customFormat="1" ht="15" customHeight="1" x14ac:dyDescent="0.3">
      <c r="B162" s="885"/>
      <c r="C162" s="1286"/>
      <c r="D162" s="1287"/>
      <c r="E162" s="1359"/>
      <c r="F162" s="886"/>
      <c r="G162" s="1360"/>
      <c r="H162" s="1361"/>
      <c r="I162" s="889"/>
      <c r="J162" s="889"/>
      <c r="K162" s="891"/>
      <c r="L162" s="889"/>
      <c r="M162" s="889"/>
      <c r="N162" s="889"/>
      <c r="O162" s="892"/>
      <c r="P162" s="889"/>
      <c r="Q162" s="889"/>
      <c r="R162" s="889"/>
      <c r="S162" s="889"/>
      <c r="T162" s="889"/>
      <c r="U162" s="889"/>
      <c r="V162" s="889"/>
      <c r="W162" s="889"/>
      <c r="X162" s="889"/>
      <c r="Y162" s="898"/>
      <c r="AA162" s="600"/>
    </row>
    <row r="163" spans="2:27" s="595" customFormat="1" ht="15" customHeight="1" x14ac:dyDescent="0.3">
      <c r="B163" s="885"/>
      <c r="C163" s="1286" t="s">
        <v>1264</v>
      </c>
      <c r="D163" s="1287"/>
      <c r="E163" s="1359"/>
      <c r="F163" s="886"/>
      <c r="G163" s="1360"/>
      <c r="H163" s="1361"/>
      <c r="I163" s="889"/>
      <c r="J163" s="889"/>
      <c r="K163" s="891"/>
      <c r="L163" s="889"/>
      <c r="M163" s="889"/>
      <c r="N163" s="889"/>
      <c r="O163" s="892"/>
      <c r="P163" s="889"/>
      <c r="Q163" s="889"/>
      <c r="R163" s="889"/>
      <c r="S163" s="889"/>
      <c r="T163" s="889"/>
      <c r="U163" s="889"/>
      <c r="V163" s="889"/>
      <c r="W163" s="889"/>
      <c r="X163" s="889"/>
      <c r="Y163" s="898"/>
      <c r="AA163" s="600"/>
    </row>
    <row r="164" spans="2:27" s="595" customFormat="1" ht="15" customHeight="1" x14ac:dyDescent="0.3">
      <c r="B164" s="885"/>
      <c r="C164" s="1385" t="s">
        <v>1269</v>
      </c>
      <c r="D164" s="1386"/>
      <c r="E164" s="1359"/>
      <c r="F164" s="886">
        <f>O164</f>
        <v>3.85</v>
      </c>
      <c r="G164" s="1360" t="s">
        <v>7</v>
      </c>
      <c r="H164" s="1361"/>
      <c r="I164" s="889">
        <v>35</v>
      </c>
      <c r="J164" s="889" t="s">
        <v>8</v>
      </c>
      <c r="K164" s="891">
        <v>1.1000000000000001</v>
      </c>
      <c r="L164" s="889" t="s">
        <v>8</v>
      </c>
      <c r="M164" s="889">
        <v>0.1</v>
      </c>
      <c r="N164" s="889" t="s">
        <v>10</v>
      </c>
      <c r="O164" s="892">
        <f>I164*K164*M164</f>
        <v>3.85</v>
      </c>
      <c r="P164" s="889"/>
      <c r="Q164" s="889"/>
      <c r="R164" s="889"/>
      <c r="S164" s="889"/>
      <c r="T164" s="889"/>
      <c r="U164" s="889"/>
      <c r="V164" s="889"/>
      <c r="W164" s="889"/>
      <c r="X164" s="889"/>
      <c r="Y164" s="898"/>
      <c r="AA164" s="600"/>
    </row>
    <row r="165" spans="2:27" s="595" customFormat="1" ht="15" customHeight="1" x14ac:dyDescent="0.3">
      <c r="B165" s="885"/>
      <c r="C165" s="1286" t="s">
        <v>1263</v>
      </c>
      <c r="D165" s="1287"/>
      <c r="E165" s="1359"/>
      <c r="F165" s="886">
        <f>O165</f>
        <v>5.6000000000000005</v>
      </c>
      <c r="G165" s="1360" t="s">
        <v>506</v>
      </c>
      <c r="H165" s="1361"/>
      <c r="I165" s="889">
        <f>I164</f>
        <v>35</v>
      </c>
      <c r="J165" s="889" t="s">
        <v>8</v>
      </c>
      <c r="K165" s="891">
        <v>0.4</v>
      </c>
      <c r="L165" s="889" t="s">
        <v>8</v>
      </c>
      <c r="M165" s="897">
        <v>0.4</v>
      </c>
      <c r="N165" s="889" t="s">
        <v>10</v>
      </c>
      <c r="O165" s="892">
        <f>I165*K165*M165</f>
        <v>5.6000000000000005</v>
      </c>
      <c r="P165" s="889"/>
      <c r="Q165" s="889"/>
      <c r="R165" s="889"/>
      <c r="S165" s="889"/>
      <c r="T165" s="889"/>
      <c r="U165" s="889"/>
      <c r="V165" s="889"/>
      <c r="W165" s="889"/>
      <c r="X165" s="889"/>
      <c r="Y165" s="898"/>
      <c r="AA165" s="600"/>
    </row>
    <row r="166" spans="2:27" s="595" customFormat="1" ht="15" customHeight="1" x14ac:dyDescent="0.3">
      <c r="B166" s="885"/>
      <c r="C166" s="1385" t="s">
        <v>1265</v>
      </c>
      <c r="D166" s="1386"/>
      <c r="E166" s="1359"/>
      <c r="F166" s="886">
        <f>O166</f>
        <v>28</v>
      </c>
      <c r="G166" s="1360" t="s">
        <v>309</v>
      </c>
      <c r="H166" s="1361"/>
      <c r="I166" s="889">
        <f>I165</f>
        <v>35</v>
      </c>
      <c r="J166" s="889" t="s">
        <v>8</v>
      </c>
      <c r="K166" s="891">
        <f>K165</f>
        <v>0.4</v>
      </c>
      <c r="L166" s="889" t="s">
        <v>8</v>
      </c>
      <c r="M166" s="897">
        <v>2</v>
      </c>
      <c r="N166" s="889" t="s">
        <v>10</v>
      </c>
      <c r="O166" s="892">
        <f>I166*K166*M166</f>
        <v>28</v>
      </c>
      <c r="P166" s="889"/>
      <c r="Q166" s="889"/>
      <c r="R166" s="889"/>
      <c r="S166" s="889"/>
      <c r="T166" s="889"/>
      <c r="U166" s="889"/>
      <c r="V166" s="889"/>
      <c r="W166" s="889"/>
      <c r="X166" s="889"/>
      <c r="Y166" s="898"/>
      <c r="AA166" s="600"/>
    </row>
    <row r="167" spans="2:27" s="595" customFormat="1" ht="15" customHeight="1" x14ac:dyDescent="0.3">
      <c r="B167" s="885"/>
      <c r="C167" s="1385"/>
      <c r="D167" s="1386"/>
      <c r="E167" s="1359"/>
      <c r="F167" s="886"/>
      <c r="G167" s="1360"/>
      <c r="H167" s="1361"/>
      <c r="I167" s="889"/>
      <c r="J167" s="889"/>
      <c r="K167" s="891"/>
      <c r="L167" s="889"/>
      <c r="M167" s="897"/>
      <c r="N167" s="889"/>
      <c r="O167" s="892"/>
      <c r="P167" s="889"/>
      <c r="Q167" s="889"/>
      <c r="R167" s="889"/>
      <c r="S167" s="889"/>
      <c r="T167" s="889"/>
      <c r="U167" s="889"/>
      <c r="V167" s="889"/>
      <c r="W167" s="889"/>
      <c r="X167" s="889"/>
      <c r="Y167" s="898"/>
      <c r="AA167" s="600"/>
    </row>
    <row r="168" spans="2:27" s="595" customFormat="1" ht="15" customHeight="1" x14ac:dyDescent="0.3">
      <c r="B168" s="885"/>
      <c r="C168" s="1385" t="s">
        <v>1266</v>
      </c>
      <c r="D168" s="1386"/>
      <c r="E168" s="1359"/>
      <c r="F168" s="886">
        <f>O170</f>
        <v>318.26666666666671</v>
      </c>
      <c r="G168" s="1360" t="s">
        <v>755</v>
      </c>
      <c r="H168" s="1361"/>
      <c r="I168" s="889">
        <f>I166</f>
        <v>35</v>
      </c>
      <c r="J168" s="889" t="s">
        <v>8</v>
      </c>
      <c r="K168" s="891">
        <f>1.1/0.15</f>
        <v>7.3333333333333339</v>
      </c>
      <c r="L168" s="889" t="s">
        <v>8</v>
      </c>
      <c r="M168" s="897">
        <v>0.62</v>
      </c>
      <c r="N168" s="889" t="s">
        <v>10</v>
      </c>
      <c r="O168" s="892">
        <f t="shared" ref="O168" si="6">I168*K168*M168</f>
        <v>159.13333333333335</v>
      </c>
      <c r="P168" s="889"/>
      <c r="Q168" s="889"/>
      <c r="R168" s="889"/>
      <c r="S168" s="889"/>
      <c r="T168" s="889"/>
      <c r="U168" s="889"/>
      <c r="V168" s="889"/>
      <c r="W168" s="889"/>
      <c r="X168" s="889"/>
      <c r="Y168" s="898"/>
      <c r="AA168" s="600"/>
    </row>
    <row r="169" spans="2:27" s="595" customFormat="1" ht="15" customHeight="1" x14ac:dyDescent="0.3">
      <c r="B169" s="885"/>
      <c r="C169" s="1385"/>
      <c r="D169" s="1386"/>
      <c r="E169" s="1359"/>
      <c r="F169" s="886"/>
      <c r="G169" s="1360"/>
      <c r="H169" s="1361"/>
      <c r="I169" s="889">
        <v>1.1000000000000001</v>
      </c>
      <c r="J169" s="889" t="s">
        <v>8</v>
      </c>
      <c r="K169" s="891">
        <f>I168/0.15</f>
        <v>233.33333333333334</v>
      </c>
      <c r="L169" s="889" t="s">
        <v>8</v>
      </c>
      <c r="M169" s="897">
        <f>M168</f>
        <v>0.62</v>
      </c>
      <c r="N169" s="889" t="s">
        <v>10</v>
      </c>
      <c r="O169" s="892">
        <f>I169*K169*M169</f>
        <v>159.13333333333335</v>
      </c>
      <c r="P169" s="889"/>
      <c r="Q169" s="889"/>
      <c r="R169" s="889"/>
      <c r="S169" s="889"/>
      <c r="T169" s="889"/>
      <c r="U169" s="889"/>
      <c r="V169" s="889"/>
      <c r="W169" s="889"/>
      <c r="X169" s="889"/>
      <c r="Y169" s="898"/>
      <c r="AA169" s="600"/>
    </row>
    <row r="170" spans="2:27" s="595" customFormat="1" ht="15" customHeight="1" x14ac:dyDescent="0.3">
      <c r="B170" s="885"/>
      <c r="C170" s="1286"/>
      <c r="D170" s="1287"/>
      <c r="E170" s="1359"/>
      <c r="F170" s="886"/>
      <c r="G170" s="1360"/>
      <c r="H170" s="919"/>
      <c r="I170" s="889"/>
      <c r="J170" s="889"/>
      <c r="K170" s="891"/>
      <c r="L170" s="889"/>
      <c r="M170" s="889"/>
      <c r="N170" s="889"/>
      <c r="O170" s="892">
        <f>SUM(O168:O169)</f>
        <v>318.26666666666671</v>
      </c>
      <c r="P170" s="889"/>
      <c r="Q170" s="889"/>
      <c r="R170" s="889"/>
      <c r="S170" s="889"/>
      <c r="T170" s="889"/>
      <c r="U170" s="889"/>
      <c r="V170" s="889"/>
      <c r="W170" s="889"/>
      <c r="X170" s="889"/>
      <c r="Y170" s="898"/>
      <c r="AA170" s="600"/>
    </row>
    <row r="171" spans="2:27" s="595" customFormat="1" ht="15" customHeight="1" x14ac:dyDescent="0.3">
      <c r="B171" s="885"/>
      <c r="C171" s="1461" t="s">
        <v>1288</v>
      </c>
      <c r="D171" s="1462"/>
      <c r="E171" s="1359"/>
      <c r="F171" s="886"/>
      <c r="G171" s="1360"/>
      <c r="H171" s="1361"/>
      <c r="I171" s="889"/>
      <c r="J171" s="889"/>
      <c r="K171" s="891"/>
      <c r="L171" s="889"/>
      <c r="M171" s="889"/>
      <c r="N171" s="889"/>
      <c r="O171" s="892"/>
      <c r="P171" s="889"/>
      <c r="Q171" s="889"/>
      <c r="R171" s="889"/>
      <c r="S171" s="889"/>
      <c r="T171" s="889"/>
      <c r="U171" s="889"/>
      <c r="V171" s="889"/>
      <c r="W171" s="889"/>
      <c r="X171" s="889"/>
      <c r="Y171" s="898"/>
      <c r="AA171" s="600"/>
    </row>
    <row r="172" spans="2:27" s="595" customFormat="1" ht="15" customHeight="1" x14ac:dyDescent="0.3">
      <c r="B172" s="885"/>
      <c r="C172" s="1461" t="s">
        <v>1269</v>
      </c>
      <c r="D172" s="1462"/>
      <c r="E172" s="1359"/>
      <c r="F172" s="886">
        <f>O172</f>
        <v>0.22200000000000003</v>
      </c>
      <c r="G172" s="1360" t="s">
        <v>7</v>
      </c>
      <c r="H172" s="1361"/>
      <c r="I172" s="889">
        <v>3.7</v>
      </c>
      <c r="J172" s="889" t="s">
        <v>8</v>
      </c>
      <c r="K172" s="891">
        <v>0.6</v>
      </c>
      <c r="L172" s="889" t="s">
        <v>8</v>
      </c>
      <c r="M172" s="889">
        <v>0.1</v>
      </c>
      <c r="N172" s="889" t="s">
        <v>10</v>
      </c>
      <c r="O172" s="892">
        <f>I172*K172*M172</f>
        <v>0.22200000000000003</v>
      </c>
      <c r="P172" s="889"/>
      <c r="Q172" s="889"/>
      <c r="R172" s="889"/>
      <c r="S172" s="889"/>
      <c r="T172" s="889"/>
      <c r="U172" s="889"/>
      <c r="V172" s="889"/>
      <c r="W172" s="889"/>
      <c r="X172" s="889"/>
      <c r="Y172" s="898"/>
      <c r="AA172" s="600"/>
    </row>
    <row r="173" spans="2:27" s="595" customFormat="1" ht="15" customHeight="1" x14ac:dyDescent="0.3">
      <c r="B173" s="885"/>
      <c r="C173" s="1461" t="s">
        <v>1265</v>
      </c>
      <c r="D173" s="1462"/>
      <c r="E173" s="1359"/>
      <c r="F173" s="886">
        <f>O173</f>
        <v>2.2200000000000002</v>
      </c>
      <c r="G173" s="1360" t="s">
        <v>309</v>
      </c>
      <c r="H173" s="1361"/>
      <c r="I173" s="889">
        <v>3.7</v>
      </c>
      <c r="J173" s="889" t="s">
        <v>8</v>
      </c>
      <c r="K173" s="891">
        <v>0.6</v>
      </c>
      <c r="L173" s="889" t="s">
        <v>8</v>
      </c>
      <c r="M173" s="889">
        <v>1</v>
      </c>
      <c r="N173" s="889" t="s">
        <v>10</v>
      </c>
      <c r="O173" s="892">
        <f>I173*K173*M173</f>
        <v>2.2200000000000002</v>
      </c>
      <c r="P173" s="889"/>
      <c r="Q173" s="889"/>
      <c r="R173" s="889"/>
      <c r="S173" s="889"/>
      <c r="T173" s="889"/>
      <c r="U173" s="889"/>
      <c r="V173" s="889"/>
      <c r="W173" s="889"/>
      <c r="X173" s="889"/>
      <c r="Y173" s="898"/>
      <c r="AA173" s="600"/>
    </row>
    <row r="174" spans="2:27" s="595" customFormat="1" ht="15" customHeight="1" x14ac:dyDescent="0.3">
      <c r="B174" s="885"/>
      <c r="C174" s="1461" t="s">
        <v>1266</v>
      </c>
      <c r="D174" s="1462"/>
      <c r="E174" s="1359"/>
      <c r="F174" s="886">
        <f>O176</f>
        <v>29.821999999999999</v>
      </c>
      <c r="G174" s="1360" t="s">
        <v>755</v>
      </c>
      <c r="H174" s="1361"/>
      <c r="I174" s="889">
        <f>I172</f>
        <v>3.7</v>
      </c>
      <c r="J174" s="889" t="s">
        <v>8</v>
      </c>
      <c r="K174" s="891">
        <f>0.6/0.1</f>
        <v>5.9999999999999991</v>
      </c>
      <c r="L174" s="889" t="s">
        <v>8</v>
      </c>
      <c r="M174" s="897">
        <v>0.62</v>
      </c>
      <c r="N174" s="889" t="s">
        <v>10</v>
      </c>
      <c r="O174" s="892">
        <f t="shared" ref="O174" si="7">I174*K174*M174</f>
        <v>13.763999999999999</v>
      </c>
      <c r="P174" s="889"/>
      <c r="Q174" s="889"/>
      <c r="R174" s="889"/>
      <c r="S174" s="889"/>
      <c r="T174" s="889"/>
      <c r="U174" s="889"/>
      <c r="V174" s="889"/>
      <c r="W174" s="889"/>
      <c r="X174" s="889"/>
      <c r="Y174" s="898"/>
      <c r="AA174" s="600"/>
    </row>
    <row r="175" spans="2:27" s="595" customFormat="1" ht="15" customHeight="1" x14ac:dyDescent="0.3">
      <c r="B175" s="885"/>
      <c r="C175" s="1461"/>
      <c r="D175" s="1462"/>
      <c r="E175" s="1359"/>
      <c r="F175" s="886"/>
      <c r="G175" s="1360"/>
      <c r="H175" s="1361"/>
      <c r="I175" s="889">
        <v>0.7</v>
      </c>
      <c r="J175" s="889" t="s">
        <v>8</v>
      </c>
      <c r="K175" s="891">
        <f>3.7/0.1</f>
        <v>37</v>
      </c>
      <c r="L175" s="889" t="s">
        <v>8</v>
      </c>
      <c r="M175" s="897">
        <f>M174</f>
        <v>0.62</v>
      </c>
      <c r="N175" s="889" t="s">
        <v>10</v>
      </c>
      <c r="O175" s="908">
        <f>I175*K175*M175</f>
        <v>16.058</v>
      </c>
      <c r="P175" s="889"/>
      <c r="Q175" s="889"/>
      <c r="R175" s="889"/>
      <c r="S175" s="889"/>
      <c r="T175" s="889"/>
      <c r="U175" s="889"/>
      <c r="V175" s="889"/>
      <c r="W175" s="889"/>
      <c r="X175" s="889"/>
      <c r="Y175" s="898"/>
      <c r="AA175" s="600"/>
    </row>
    <row r="176" spans="2:27" s="595" customFormat="1" ht="15" customHeight="1" x14ac:dyDescent="0.3">
      <c r="B176" s="605"/>
      <c r="C176" s="1277"/>
      <c r="D176" s="910"/>
      <c r="E176" s="911"/>
      <c r="F176" s="907"/>
      <c r="G176" s="912"/>
      <c r="H176" s="913"/>
      <c r="I176" s="611"/>
      <c r="J176" s="611"/>
      <c r="K176" s="611"/>
      <c r="L176" s="611"/>
      <c r="M176" s="612"/>
      <c r="N176" s="611"/>
      <c r="O176" s="1480">
        <f>SUM(O174:O175)</f>
        <v>29.821999999999999</v>
      </c>
      <c r="P176" s="611" t="s">
        <v>755</v>
      </c>
      <c r="Q176" s="611"/>
      <c r="R176" s="611"/>
      <c r="S176" s="611"/>
      <c r="T176" s="611"/>
      <c r="U176" s="611"/>
      <c r="V176" s="611"/>
      <c r="W176" s="611"/>
      <c r="X176" s="611"/>
      <c r="Y176" s="613"/>
      <c r="AA176" s="600"/>
    </row>
    <row r="177" spans="2:27" s="595" customFormat="1" ht="15" x14ac:dyDescent="0.3">
      <c r="B177" s="900" t="s">
        <v>1011</v>
      </c>
      <c r="C177" s="914" t="str">
        <f>[2]RAB!E82</f>
        <v>PEKERJAAN AKHIR</v>
      </c>
      <c r="D177" s="914"/>
      <c r="E177" s="915"/>
      <c r="F177" s="878"/>
      <c r="G177" s="915"/>
      <c r="H177" s="916"/>
      <c r="I177" s="915"/>
      <c r="J177" s="915"/>
      <c r="K177" s="915"/>
      <c r="L177" s="915"/>
      <c r="M177" s="915"/>
      <c r="N177" s="915"/>
      <c r="O177" s="917"/>
      <c r="P177" s="915"/>
      <c r="Q177" s="915"/>
      <c r="R177" s="915"/>
      <c r="S177" s="915"/>
      <c r="T177" s="915"/>
      <c r="U177" s="915"/>
      <c r="V177" s="915"/>
      <c r="W177" s="915"/>
      <c r="X177" s="915"/>
      <c r="Y177" s="918"/>
      <c r="AA177" s="600"/>
    </row>
    <row r="178" spans="2:27" s="595" customFormat="1" ht="15" x14ac:dyDescent="0.3">
      <c r="B178" s="601" t="str">
        <f>[2]RAB!C83</f>
        <v xml:space="preserve">  </v>
      </c>
      <c r="C178" s="1584" t="s">
        <v>734</v>
      </c>
      <c r="D178" s="1585"/>
      <c r="E178" s="1590"/>
      <c r="F178" s="789">
        <v>1</v>
      </c>
      <c r="G178" s="604"/>
      <c r="H178" s="919" t="s">
        <v>132</v>
      </c>
      <c r="I178" s="604"/>
      <c r="J178" s="604"/>
      <c r="K178" s="830">
        <v>1</v>
      </c>
      <c r="L178" s="604"/>
      <c r="M178" s="604"/>
      <c r="N178" s="604"/>
      <c r="O178" s="920"/>
      <c r="P178" s="604"/>
      <c r="Q178" s="604"/>
      <c r="R178" s="604"/>
      <c r="S178" s="604"/>
      <c r="T178" s="604"/>
      <c r="U178" s="604"/>
      <c r="V178" s="604"/>
      <c r="W178" s="604"/>
      <c r="X178" s="604"/>
      <c r="Y178" s="921"/>
      <c r="AA178" s="600"/>
    </row>
    <row r="179" spans="2:27" s="595" customFormat="1" ht="15.75" thickBot="1" x14ac:dyDescent="0.35">
      <c r="B179" s="922"/>
      <c r="C179" s="923"/>
      <c r="D179" s="923"/>
      <c r="E179" s="924"/>
      <c r="F179" s="925"/>
      <c r="G179" s="924"/>
      <c r="H179" s="926"/>
      <c r="I179" s="924"/>
      <c r="J179" s="924"/>
      <c r="K179" s="924"/>
      <c r="L179" s="924"/>
      <c r="M179" s="924"/>
      <c r="N179" s="924"/>
      <c r="O179" s="927"/>
      <c r="P179" s="924"/>
      <c r="Q179" s="924"/>
      <c r="R179" s="924"/>
      <c r="S179" s="924"/>
      <c r="T179" s="924"/>
      <c r="U179" s="924"/>
      <c r="V179" s="924"/>
      <c r="W179" s="924"/>
      <c r="X179" s="924"/>
      <c r="Y179" s="928"/>
      <c r="AA179" s="600"/>
    </row>
    <row r="182" spans="2:27" ht="15.75" customHeight="1" x14ac:dyDescent="0.3">
      <c r="C182" s="615" t="s">
        <v>735</v>
      </c>
      <c r="D182" s="615"/>
      <c r="E182" s="615">
        <v>93.3</v>
      </c>
      <c r="F182" s="615" t="s">
        <v>736</v>
      </c>
      <c r="I182" s="616" t="e">
        <f>#REF!/2</f>
        <v>#REF!</v>
      </c>
      <c r="AA182" s="618"/>
    </row>
    <row r="183" spans="2:27" x14ac:dyDescent="0.3">
      <c r="I183" s="616" t="e">
        <f>I182/2</f>
        <v>#REF!</v>
      </c>
      <c r="AA183" s="620"/>
    </row>
    <row r="184" spans="2:27" x14ac:dyDescent="0.3">
      <c r="AA184" s="620"/>
    </row>
    <row r="185" spans="2:27" x14ac:dyDescent="0.3">
      <c r="E185" s="616">
        <f>(10.2*10)/0.966</f>
        <v>105.59006211180125</v>
      </c>
      <c r="AA185" s="620"/>
    </row>
    <row r="186" spans="2:27" ht="15" x14ac:dyDescent="0.3">
      <c r="B186" s="569"/>
      <c r="C186" s="569"/>
      <c r="D186" s="569"/>
      <c r="E186" s="569"/>
      <c r="F186" s="569"/>
      <c r="G186" s="569"/>
      <c r="H186" s="569"/>
      <c r="I186" s="569"/>
      <c r="J186" s="569"/>
      <c r="K186" s="569"/>
      <c r="L186" s="569"/>
      <c r="M186" s="569"/>
      <c r="N186" s="569"/>
      <c r="O186" s="569"/>
      <c r="P186" s="569"/>
      <c r="Q186" s="569"/>
      <c r="R186" s="569"/>
      <c r="S186" s="569"/>
      <c r="T186" s="569"/>
      <c r="U186" s="569"/>
      <c r="V186" s="569"/>
      <c r="W186" s="569"/>
      <c r="X186" s="569"/>
      <c r="Y186" s="569"/>
      <c r="AA186" s="620"/>
    </row>
    <row r="187" spans="2:27" ht="15" x14ac:dyDescent="0.3">
      <c r="B187" s="569"/>
      <c r="C187" s="569"/>
      <c r="D187" s="569"/>
      <c r="E187" s="569"/>
      <c r="F187" s="569"/>
      <c r="G187" s="569"/>
      <c r="H187" s="569"/>
      <c r="I187" s="569"/>
      <c r="J187" s="569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AA187" s="620"/>
    </row>
  </sheetData>
  <protectedRanges>
    <protectedRange password="CF35" sqref="C176:D176 C93:D94" name="Range1_1"/>
  </protectedRanges>
  <dataConsolidate/>
  <mergeCells count="31">
    <mergeCell ref="C32:E32"/>
    <mergeCell ref="B1:Y1"/>
    <mergeCell ref="B8:B9"/>
    <mergeCell ref="C8:E9"/>
    <mergeCell ref="F8:G8"/>
    <mergeCell ref="H8:H9"/>
    <mergeCell ref="I8:Y9"/>
    <mergeCell ref="C12:E12"/>
    <mergeCell ref="C16:E16"/>
    <mergeCell ref="C20:E20"/>
    <mergeCell ref="C21:E21"/>
    <mergeCell ref="C17:E17"/>
    <mergeCell ref="C150:E150"/>
    <mergeCell ref="C44:E44"/>
    <mergeCell ref="C151:E151"/>
    <mergeCell ref="C152:E152"/>
    <mergeCell ref="C45:E45"/>
    <mergeCell ref="C93:E93"/>
    <mergeCell ref="C51:E51"/>
    <mergeCell ref="C49:E49"/>
    <mergeCell ref="Q88:Q89"/>
    <mergeCell ref="C47:E47"/>
    <mergeCell ref="C48:E48"/>
    <mergeCell ref="C66:E66"/>
    <mergeCell ref="C70:E71"/>
    <mergeCell ref="C159:E159"/>
    <mergeCell ref="C160:E160"/>
    <mergeCell ref="C178:E178"/>
    <mergeCell ref="C157:E157"/>
    <mergeCell ref="C153:E153"/>
    <mergeCell ref="C154:E154"/>
  </mergeCells>
  <printOptions horizontalCentered="1"/>
  <pageMargins left="0.28999999999999998" right="7.8740157480315001E-2" top="0.28999999999999998" bottom="0.15" header="0.118110236220472" footer="0.118110236220472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62"/>
  <sheetViews>
    <sheetView showGridLines="0" topLeftCell="A22" zoomScale="85" zoomScaleNormal="85" workbookViewId="0">
      <selection activeCell="L45" sqref="L45"/>
    </sheetView>
  </sheetViews>
  <sheetFormatPr defaultRowHeight="16.5" x14ac:dyDescent="0.3"/>
  <cols>
    <col min="1" max="3" width="9.140625" style="259"/>
    <col min="4" max="4" width="12.42578125" style="259" customWidth="1"/>
    <col min="5" max="5" width="10.85546875" style="259" customWidth="1"/>
    <col min="6" max="9" width="9.140625" style="259"/>
    <col min="10" max="10" width="27.28515625" style="259" customWidth="1"/>
    <col min="11" max="11" width="20.42578125" style="259" customWidth="1"/>
    <col min="12" max="12" width="9.140625" style="259"/>
    <col min="13" max="13" width="11.85546875" style="259" customWidth="1"/>
    <col min="14" max="14" width="16.140625" style="259" customWidth="1"/>
    <col min="15" max="15" width="15.28515625" style="259" bestFit="1" customWidth="1"/>
    <col min="16" max="16384" width="9.140625" style="259"/>
  </cols>
  <sheetData>
    <row r="3" spans="3:14" ht="30" customHeight="1" x14ac:dyDescent="0.3">
      <c r="C3" s="258" t="s">
        <v>146</v>
      </c>
      <c r="D3" s="258" t="s">
        <v>122</v>
      </c>
      <c r="E3" s="258" t="s">
        <v>105</v>
      </c>
      <c r="F3" s="1626" t="s">
        <v>377</v>
      </c>
      <c r="G3" s="1626"/>
      <c r="H3" s="1626"/>
      <c r="I3" s="1626"/>
      <c r="J3" s="1626"/>
      <c r="K3" s="258" t="s">
        <v>378</v>
      </c>
    </row>
    <row r="4" spans="3:14" ht="20.100000000000001" customHeight="1" x14ac:dyDescent="0.3">
      <c r="C4" s="260"/>
      <c r="D4" s="260"/>
      <c r="E4" s="260"/>
      <c r="F4" s="261"/>
      <c r="G4" s="262"/>
      <c r="H4" s="262"/>
      <c r="I4" s="262"/>
      <c r="J4" s="263"/>
      <c r="K4" s="260"/>
    </row>
    <row r="5" spans="3:14" ht="20.100000000000001" customHeight="1" x14ac:dyDescent="0.3">
      <c r="C5" s="237"/>
      <c r="D5" s="238" t="str">
        <f>" "&amp;AHS!B8&amp;" "&amp;AHS!C8&amp;""</f>
        <v xml:space="preserve"> PA 6.4</v>
      </c>
      <c r="E5" s="238" t="str">
        <f>AHS!D8</f>
        <v>1 m'</v>
      </c>
      <c r="F5" s="239" t="str">
        <f>AHS!E8</f>
        <v>Pengukuran dan Pemasangan bowplank</v>
      </c>
      <c r="G5" s="240"/>
      <c r="H5" s="240"/>
      <c r="I5" s="240"/>
      <c r="J5" s="241"/>
      <c r="K5" s="242">
        <f>AHS!O20</f>
        <v>91550</v>
      </c>
    </row>
    <row r="6" spans="3:14" ht="20.100000000000001" customHeight="1" x14ac:dyDescent="0.3">
      <c r="C6" s="237"/>
      <c r="D6" s="238" t="str">
        <f>" "&amp;AHS!B22&amp;" "&amp;AHS!C22&amp;""</f>
        <v xml:space="preserve"> PA 6.8</v>
      </c>
      <c r="E6" s="238" t="str">
        <f>AHS!D22</f>
        <v xml:space="preserve">1 m² </v>
      </c>
      <c r="F6" s="239" t="str">
        <f>AHS!E22</f>
        <v>Membersihkan lapangan dan perataan</v>
      </c>
      <c r="G6" s="240"/>
      <c r="H6" s="240"/>
      <c r="I6" s="240"/>
      <c r="J6" s="241"/>
      <c r="K6" s="242">
        <f>AHS!O26</f>
        <v>18500</v>
      </c>
    </row>
    <row r="7" spans="3:14" ht="20.100000000000001" customHeight="1" x14ac:dyDescent="0.3">
      <c r="C7" s="237"/>
      <c r="D7" s="238"/>
      <c r="E7" s="238"/>
      <c r="F7" s="239"/>
      <c r="G7" s="240"/>
      <c r="H7" s="240"/>
      <c r="I7" s="240"/>
      <c r="J7" s="241"/>
      <c r="K7" s="242"/>
    </row>
    <row r="8" spans="3:14" ht="20.100000000000001" customHeight="1" x14ac:dyDescent="0.3">
      <c r="C8" s="237"/>
      <c r="D8" s="238" t="str">
        <f>" "&amp;AHS!B30&amp;" "&amp;AHS!C30&amp;""</f>
        <v xml:space="preserve"> PT 6.1</v>
      </c>
      <c r="E8" s="238" t="str">
        <f>AHS!D30</f>
        <v>1 m³</v>
      </c>
      <c r="F8" s="239" t="str">
        <f>AHS!E30</f>
        <v>Galian tanah biasa sedalam 1 meter</v>
      </c>
      <c r="G8" s="240"/>
      <c r="H8" s="240"/>
      <c r="I8" s="240"/>
      <c r="J8" s="241"/>
      <c r="K8" s="242">
        <f>AHS!O34</f>
        <v>113750</v>
      </c>
    </row>
    <row r="9" spans="3:14" ht="20.100000000000001" customHeight="1" x14ac:dyDescent="0.3">
      <c r="C9" s="237"/>
      <c r="D9" s="238" t="str">
        <f>" "&amp;AHS!B36&amp;" "&amp;AHS!C36&amp;""</f>
        <v xml:space="preserve"> PT 6.2</v>
      </c>
      <c r="E9" s="238" t="str">
        <f>AHS!D36</f>
        <v>1 m³</v>
      </c>
      <c r="F9" s="239" t="str">
        <f>AHS!E36</f>
        <v>Galian tanah biasa sedalam 2 meter</v>
      </c>
      <c r="G9" s="240"/>
      <c r="H9" s="240"/>
      <c r="I9" s="240"/>
      <c r="J9" s="241"/>
      <c r="K9" s="242">
        <f>AHS!O40</f>
        <v>105750</v>
      </c>
    </row>
    <row r="10" spans="3:14" ht="20.100000000000001" customHeight="1" x14ac:dyDescent="0.3">
      <c r="C10" s="237"/>
      <c r="D10" s="238" t="str">
        <f>" "&amp;AHS!B42&amp;" "&amp;AHS!C42&amp;""</f>
        <v xml:space="preserve"> PT 6.9</v>
      </c>
      <c r="E10" s="238" t="str">
        <f>AHS!D42</f>
        <v>1 m³</v>
      </c>
      <c r="F10" s="239" t="str">
        <f>AHS!E42</f>
        <v>Urugan kembali (1/3 dari koefisien galian)</v>
      </c>
      <c r="G10" s="240"/>
      <c r="H10" s="240"/>
      <c r="I10" s="240"/>
      <c r="J10" s="241"/>
      <c r="K10" s="242">
        <f>AHS!O46</f>
        <v>28700</v>
      </c>
    </row>
    <row r="11" spans="3:14" ht="20.100000000000001" customHeight="1" x14ac:dyDescent="0.3">
      <c r="C11" s="237"/>
      <c r="D11" s="238" t="str">
        <f>" "&amp;AHS!B48&amp;" "&amp;AHS!C48&amp;""</f>
        <v xml:space="preserve"> PT 6.11.a</v>
      </c>
      <c r="E11" s="238" t="str">
        <f>AHS!D48</f>
        <v>1 m³</v>
      </c>
      <c r="F11" s="239" t="str">
        <f>AHS!E48</f>
        <v>Urugan Sirtu</v>
      </c>
      <c r="G11" s="240"/>
      <c r="H11" s="240"/>
      <c r="I11" s="240"/>
      <c r="J11" s="241"/>
      <c r="K11" s="242">
        <f>AHS!O56</f>
        <v>154500</v>
      </c>
      <c r="N11" s="264"/>
    </row>
    <row r="12" spans="3:14" ht="20.100000000000001" customHeight="1" x14ac:dyDescent="0.3">
      <c r="C12" s="237"/>
      <c r="D12" s="238" t="str">
        <f>" "&amp;AHS!B58&amp;" "&amp;AHS!C58&amp;""</f>
        <v xml:space="preserve"> PT 6.11.b</v>
      </c>
      <c r="E12" s="238" t="str">
        <f>AHS!D58</f>
        <v>1 m³</v>
      </c>
      <c r="F12" s="239" t="str">
        <f>AHS!E58</f>
        <v>Urugan tanah urug</v>
      </c>
      <c r="G12" s="240"/>
      <c r="H12" s="240"/>
      <c r="I12" s="240"/>
      <c r="J12" s="241"/>
      <c r="K12" s="242">
        <f>AHS!O66</f>
        <v>130500</v>
      </c>
    </row>
    <row r="13" spans="3:14" ht="20.100000000000001" customHeight="1" x14ac:dyDescent="0.3">
      <c r="C13" s="237"/>
      <c r="D13" s="238"/>
      <c r="E13" s="238"/>
      <c r="F13" s="239"/>
      <c r="G13" s="240"/>
      <c r="H13" s="240"/>
      <c r="I13" s="240"/>
      <c r="J13" s="241"/>
      <c r="K13" s="242"/>
    </row>
    <row r="14" spans="3:14" ht="20.100000000000001" customHeight="1" x14ac:dyDescent="0.3">
      <c r="C14" s="237"/>
      <c r="D14" s="238" t="str">
        <f>" "&amp;AHS!B70&amp;" "&amp;AHS!C70&amp;""</f>
        <v xml:space="preserve"> PP 6.2</v>
      </c>
      <c r="E14" s="238" t="str">
        <f>AHS!D70</f>
        <v>1 M³</v>
      </c>
      <c r="F14" s="239" t="str">
        <f>AHS!E70</f>
        <v>Pasang pondasi batu belah 1 Pc : 4 Pp</v>
      </c>
      <c r="G14" s="240"/>
      <c r="H14" s="240"/>
      <c r="I14" s="240"/>
      <c r="J14" s="241"/>
      <c r="K14" s="242">
        <f>AHS!O82</f>
        <v>989112.5</v>
      </c>
    </row>
    <row r="15" spans="3:14" ht="20.100000000000001" customHeight="1" x14ac:dyDescent="0.3">
      <c r="C15" s="237"/>
      <c r="D15" s="238" t="str">
        <f>" "&amp;AHS!B84&amp;" "&amp;AHS!C84&amp;""</f>
        <v xml:space="preserve"> PP 6.4</v>
      </c>
      <c r="E15" s="238" t="str">
        <f>AHS!D84</f>
        <v>1 M³</v>
      </c>
      <c r="F15" s="239" t="str">
        <f>AHS!E84</f>
        <v>Pasang pondasi batu kosong</v>
      </c>
      <c r="G15" s="240"/>
      <c r="H15" s="240"/>
      <c r="I15" s="240"/>
      <c r="J15" s="241"/>
      <c r="K15" s="242">
        <f>AHS!O95</f>
        <v>546450</v>
      </c>
    </row>
    <row r="16" spans="3:14" ht="20.100000000000001" customHeight="1" x14ac:dyDescent="0.3">
      <c r="C16" s="237"/>
      <c r="D16" s="238"/>
      <c r="E16" s="238"/>
      <c r="F16" s="239"/>
      <c r="G16" s="240"/>
      <c r="H16" s="240"/>
      <c r="I16" s="240"/>
      <c r="J16" s="241"/>
      <c r="K16" s="242"/>
    </row>
    <row r="17" spans="3:14" ht="20.100000000000001" customHeight="1" x14ac:dyDescent="0.3">
      <c r="C17" s="237"/>
      <c r="D17" s="238" t="str">
        <f>" "&amp;AHS!B99&amp;" "&amp;AHS!C99&amp;""</f>
        <v xml:space="preserve"> PD 6.7</v>
      </c>
      <c r="E17" s="238" t="str">
        <f>AHS!D99</f>
        <v xml:space="preserve">1 m²  </v>
      </c>
      <c r="F17" s="239" t="str">
        <f>AHS!E99</f>
        <v xml:space="preserve">Pasangan bata merah tebal 1/2 bata, 1Pc :  2 Pp </v>
      </c>
      <c r="G17" s="240"/>
      <c r="H17" s="240"/>
      <c r="I17" s="240"/>
      <c r="J17" s="241"/>
      <c r="K17" s="242">
        <f>AHS!O111</f>
        <v>140258.125</v>
      </c>
      <c r="N17" s="264"/>
    </row>
    <row r="18" spans="3:14" ht="20.100000000000001" customHeight="1" x14ac:dyDescent="0.3">
      <c r="C18" s="237"/>
      <c r="D18" s="238" t="str">
        <f>" "&amp;AHS!B113&amp;" "&amp;AHS!C113&amp;""</f>
        <v xml:space="preserve"> PD 6.9</v>
      </c>
      <c r="E18" s="238" t="str">
        <f>AHS!D113</f>
        <v xml:space="preserve">1 m²  </v>
      </c>
      <c r="F18" s="239" t="str">
        <f>AHS!E113</f>
        <v xml:space="preserve">Pasangan bata merah tebal 1/2 bata, 1Pc :  4 Pp </v>
      </c>
      <c r="G18" s="240"/>
      <c r="H18" s="240"/>
      <c r="I18" s="240"/>
      <c r="J18" s="241"/>
      <c r="K18" s="242">
        <f>AHS!O125</f>
        <v>128611.25</v>
      </c>
    </row>
    <row r="19" spans="3:14" ht="20.100000000000001" customHeight="1" x14ac:dyDescent="0.3">
      <c r="C19" s="237"/>
      <c r="D19" s="238"/>
      <c r="E19" s="238"/>
      <c r="F19" s="239"/>
      <c r="G19" s="240"/>
      <c r="H19" s="240"/>
      <c r="I19" s="240"/>
      <c r="J19" s="241"/>
      <c r="K19" s="242"/>
    </row>
    <row r="20" spans="3:14" ht="20.100000000000001" customHeight="1" x14ac:dyDescent="0.3">
      <c r="C20" s="237"/>
      <c r="D20" s="238" t="str">
        <f>" "&amp;AHS!B129&amp;" "&amp;AHS!C129&amp;""</f>
        <v xml:space="preserve"> PL 6.2</v>
      </c>
      <c r="E20" s="238" t="str">
        <f>AHS!D129</f>
        <v xml:space="preserve">1 M² </v>
      </c>
      <c r="F20" s="239" t="str">
        <f>AHS!E129</f>
        <v>Plesteran 1 Pc : 2 Pp, tebal 15 mm</v>
      </c>
      <c r="G20" s="240"/>
      <c r="H20" s="240"/>
      <c r="I20" s="240"/>
      <c r="J20" s="241"/>
      <c r="K20" s="242">
        <f>AHS!O140</f>
        <v>81703</v>
      </c>
    </row>
    <row r="21" spans="3:14" ht="20.100000000000001" customHeight="1" x14ac:dyDescent="0.3">
      <c r="C21" s="237"/>
      <c r="D21" s="238" t="str">
        <f>" "&amp;AHS!B142&amp;" "&amp;AHS!C142&amp;""</f>
        <v xml:space="preserve"> PL 6.3</v>
      </c>
      <c r="E21" s="238" t="str">
        <f>AHS!D142</f>
        <v xml:space="preserve">1 M² </v>
      </c>
      <c r="F21" s="239" t="str">
        <f>AHS!E142</f>
        <v>Plesteran 1 Pc : 3 Pp, tebal 15 mm</v>
      </c>
      <c r="G21" s="240"/>
      <c r="H21" s="240"/>
      <c r="I21" s="240"/>
      <c r="J21" s="241"/>
      <c r="K21" s="242">
        <f>AHS!O153</f>
        <v>78127</v>
      </c>
    </row>
    <row r="22" spans="3:14" ht="20.100000000000001" customHeight="1" x14ac:dyDescent="0.3">
      <c r="C22" s="237"/>
      <c r="D22" s="238" t="str">
        <f>" "&amp;AHS!B155&amp;" "&amp;AHS!C155&amp;""</f>
        <v xml:space="preserve"> PL 6.4</v>
      </c>
      <c r="E22" s="238" t="str">
        <f>AHS!D155</f>
        <v xml:space="preserve">1 M² </v>
      </c>
      <c r="F22" s="239" t="str">
        <f>AHS!E155</f>
        <v>Plesteran 1 Pc : 4 Pp, tebal 15 mm</v>
      </c>
      <c r="G22" s="240"/>
      <c r="H22" s="240"/>
      <c r="I22" s="240"/>
      <c r="J22" s="241"/>
      <c r="K22" s="242">
        <f>AHS!O166</f>
        <v>75720</v>
      </c>
      <c r="N22" s="264"/>
    </row>
    <row r="23" spans="3:14" ht="20.100000000000001" customHeight="1" x14ac:dyDescent="0.3">
      <c r="C23" s="237"/>
      <c r="D23" s="238"/>
      <c r="E23" s="238"/>
      <c r="F23" s="239"/>
      <c r="G23" s="240"/>
      <c r="H23" s="240"/>
      <c r="I23" s="240"/>
      <c r="J23" s="241"/>
      <c r="K23" s="242"/>
    </row>
    <row r="24" spans="3:14" ht="20.100000000000001" customHeight="1" x14ac:dyDescent="0.3">
      <c r="C24" s="237"/>
      <c r="D24" s="238" t="str">
        <f>" "&amp;AHS!B170&amp;" "&amp;AHS!C170&amp;""</f>
        <v xml:space="preserve"> PB 6.1</v>
      </c>
      <c r="E24" s="238" t="str">
        <f>AHS!D170</f>
        <v xml:space="preserve">1 M³ </v>
      </c>
      <c r="F24" s="239" t="str">
        <f>AHS!E170</f>
        <v>Membuat beton mutu f'c = 7.4 Mpa (K 100), slump (12 ± 2) cm, w/c = 0.87 (1PC : 3,5PB : 4KR)</v>
      </c>
      <c r="G24" s="240"/>
      <c r="H24" s="240"/>
      <c r="I24" s="240"/>
      <c r="J24" s="241"/>
      <c r="K24" s="242">
        <f>AHS!O183</f>
        <v>1024347.5</v>
      </c>
    </row>
    <row r="25" spans="3:14" ht="20.100000000000001" customHeight="1" x14ac:dyDescent="0.3">
      <c r="C25" s="237"/>
      <c r="D25" s="238" t="str">
        <f>" "&amp;AHS!B185&amp;" "&amp;AHS!C185&amp;""</f>
        <v xml:space="preserve"> PB 6.5</v>
      </c>
      <c r="E25" s="238" t="str">
        <f>AHS!D185</f>
        <v xml:space="preserve">1 M³ </v>
      </c>
      <c r="F25" s="239" t="str">
        <f>AHS!E185</f>
        <v>Membuat beton mutu f'c = 14.5 Mpa (K 175), slump (12 ± 2) cm, w/c = 0.66 (1PC : 2,5PB : 3KR)</v>
      </c>
      <c r="G25" s="240"/>
      <c r="H25" s="240"/>
      <c r="I25" s="240"/>
      <c r="J25" s="241"/>
      <c r="K25" s="242">
        <f>AHS!O198</f>
        <v>1134576.6666666665</v>
      </c>
      <c r="N25" s="264"/>
    </row>
    <row r="26" spans="3:14" ht="20.100000000000001" customHeight="1" x14ac:dyDescent="0.3">
      <c r="C26" s="237"/>
      <c r="D26" s="238" t="str">
        <f>" "&amp;AHS!B200&amp;" "&amp;AHS!C200&amp;""</f>
        <v xml:space="preserve"> PB 6.7</v>
      </c>
      <c r="E26" s="238" t="str">
        <f>AHS!D200</f>
        <v xml:space="preserve">1 M³ </v>
      </c>
      <c r="F26" s="239" t="str">
        <f>AHS!E200</f>
        <v>Membuat beton mutu f'c = 19.3 Mpa (K 225), slump (12 ± 2) cm, w/c = 0.58 (1PC : 2PB : 3KR)</v>
      </c>
      <c r="G26" s="240"/>
      <c r="H26" s="240"/>
      <c r="I26" s="240"/>
      <c r="J26" s="241"/>
      <c r="K26" s="242">
        <f>AHS!O213</f>
        <v>1197514.1666666665</v>
      </c>
    </row>
    <row r="27" spans="3:14" ht="20.100000000000001" customHeight="1" x14ac:dyDescent="0.3">
      <c r="C27" s="237"/>
      <c r="D27" s="238"/>
      <c r="E27" s="238"/>
      <c r="F27" s="239"/>
      <c r="G27" s="240"/>
      <c r="H27" s="240"/>
      <c r="I27" s="240"/>
      <c r="J27" s="241"/>
      <c r="K27" s="242"/>
    </row>
    <row r="28" spans="3:14" ht="20.100000000000001" customHeight="1" x14ac:dyDescent="0.3">
      <c r="C28" s="237"/>
      <c r="D28" s="238" t="str">
        <f>" "&amp;AHS!B232&amp;" "&amp;AHS!C232&amp;""</f>
        <v xml:space="preserve"> PB 6.17</v>
      </c>
      <c r="E28" s="238" t="str">
        <f>AHS!D232</f>
        <v xml:space="preserve">1 Kg </v>
      </c>
      <c r="F28" s="239" t="str">
        <f>AHS!E232</f>
        <v xml:space="preserve">Besi Tulangan </v>
      </c>
      <c r="G28" s="240"/>
      <c r="H28" s="240"/>
      <c r="I28" s="240"/>
      <c r="J28" s="241"/>
      <c r="K28" s="242">
        <f>AHS!O245</f>
        <v>16060</v>
      </c>
    </row>
    <row r="29" spans="3:14" ht="20.100000000000001" customHeight="1" x14ac:dyDescent="0.3">
      <c r="C29" s="237"/>
      <c r="D29" s="238"/>
      <c r="E29" s="238"/>
      <c r="F29" s="239"/>
      <c r="G29" s="240"/>
      <c r="H29" s="240"/>
      <c r="I29" s="240"/>
      <c r="J29" s="241"/>
      <c r="K29" s="242"/>
    </row>
    <row r="30" spans="3:14" ht="20.100000000000001" customHeight="1" x14ac:dyDescent="0.3">
      <c r="C30" s="237"/>
      <c r="D30" s="238"/>
      <c r="E30" s="238"/>
      <c r="F30" s="239"/>
      <c r="G30" s="240"/>
      <c r="H30" s="240"/>
      <c r="I30" s="240"/>
      <c r="J30" s="241"/>
      <c r="K30" s="242"/>
    </row>
    <row r="31" spans="3:14" ht="20.100000000000001" customHeight="1" x14ac:dyDescent="0.3">
      <c r="C31" s="237"/>
      <c r="D31" s="238" t="str">
        <f>" "&amp;AHS!B247&amp;" "&amp;AHS!C247&amp;""</f>
        <v xml:space="preserve"> PB 6.20</v>
      </c>
      <c r="E31" s="238" t="str">
        <f>AHS!D247</f>
        <v>1 M2</v>
      </c>
      <c r="F31" s="239" t="str">
        <f>AHS!E247</f>
        <v>Pasang  bekisting untuk pondasi</v>
      </c>
      <c r="G31" s="240"/>
      <c r="H31" s="240"/>
      <c r="I31" s="240"/>
      <c r="J31" s="241"/>
      <c r="K31" s="242">
        <f>AHS!O260</f>
        <v>107166.66666666667</v>
      </c>
    </row>
    <row r="32" spans="3:14" ht="20.100000000000001" customHeight="1" x14ac:dyDescent="0.3">
      <c r="C32" s="237"/>
      <c r="D32" s="238" t="str">
        <f>" "&amp;AHS!B262&amp;" "&amp;AHS!C262&amp;""</f>
        <v xml:space="preserve"> PB 6.21</v>
      </c>
      <c r="E32" s="238" t="str">
        <f>AHS!D262</f>
        <v xml:space="preserve">1 M2 </v>
      </c>
      <c r="F32" s="239" t="str">
        <f>AHS!E262</f>
        <v>Pasang bekisting untuk sloof</v>
      </c>
      <c r="G32" s="240"/>
      <c r="H32" s="240"/>
      <c r="I32" s="240"/>
      <c r="J32" s="241"/>
      <c r="K32" s="242">
        <f>AHS!O275</f>
        <v>115833.33333333333</v>
      </c>
    </row>
    <row r="33" spans="3:15" ht="20.100000000000001" customHeight="1" x14ac:dyDescent="0.3">
      <c r="C33" s="237"/>
      <c r="D33" s="238" t="str">
        <f>" "&amp;AHS!B277&amp;" "&amp;AHS!C277&amp;""</f>
        <v xml:space="preserve"> PB 6.22</v>
      </c>
      <c r="E33" s="238" t="str">
        <f>AHS!D277</f>
        <v>1 M2</v>
      </c>
      <c r="F33" s="239" t="str">
        <f>AHS!E277</f>
        <v>Pasang  bekisting untuk kolom</v>
      </c>
      <c r="G33" s="240"/>
      <c r="H33" s="240"/>
      <c r="I33" s="240"/>
      <c r="J33" s="241"/>
      <c r="K33" s="242">
        <f>AHS!O293</f>
        <v>194600</v>
      </c>
    </row>
    <row r="34" spans="3:15" ht="20.100000000000001" customHeight="1" x14ac:dyDescent="0.3">
      <c r="C34" s="237"/>
      <c r="D34" s="238" t="str">
        <f>" "&amp;AHS!B295&amp;" "&amp;AHS!C295&amp;""</f>
        <v xml:space="preserve"> PB 6.23</v>
      </c>
      <c r="E34" s="238" t="str">
        <f>AHS!D295</f>
        <v>1 M2</v>
      </c>
      <c r="F34" s="239" t="str">
        <f>AHS!E295</f>
        <v>Pasang  bekisting untuk balok</v>
      </c>
      <c r="G34" s="240"/>
      <c r="H34" s="240"/>
      <c r="I34" s="240"/>
      <c r="J34" s="241"/>
      <c r="K34" s="242">
        <f>AHS!O311</f>
        <v>201100</v>
      </c>
    </row>
    <row r="35" spans="3:15" ht="20.100000000000001" customHeight="1" x14ac:dyDescent="0.3">
      <c r="C35" s="237"/>
      <c r="D35" s="238" t="str">
        <f>" "&amp;AHS!B313&amp;" "&amp;AHS!C313&amp;""</f>
        <v xml:space="preserve"> PB 6.24</v>
      </c>
      <c r="E35" s="238" t="str">
        <f>AHS!D313</f>
        <v>1 M2</v>
      </c>
      <c r="F35" s="239" t="str">
        <f>AHS!E313</f>
        <v>Pasang  bekisting untuk plat lantai</v>
      </c>
      <c r="G35" s="240"/>
      <c r="H35" s="240"/>
      <c r="I35" s="240"/>
      <c r="J35" s="241"/>
      <c r="K35" s="242">
        <f>AHS!O329</f>
        <v>227933.33333333334</v>
      </c>
    </row>
    <row r="36" spans="3:15" ht="20.100000000000001" customHeight="1" x14ac:dyDescent="0.3">
      <c r="C36" s="237"/>
      <c r="D36" s="238"/>
      <c r="E36" s="238"/>
      <c r="F36" s="239"/>
      <c r="G36" s="240"/>
      <c r="H36" s="240"/>
      <c r="I36" s="240"/>
      <c r="J36" s="241"/>
      <c r="K36" s="242"/>
    </row>
    <row r="37" spans="3:15" ht="20.100000000000001" customHeight="1" x14ac:dyDescent="0.3">
      <c r="C37" s="237"/>
      <c r="D37" s="238" t="str">
        <f>" "&amp;AHS!B333&amp;" "&amp;AHS!C333&amp;""</f>
        <v xml:space="preserve"> PPA.32 </v>
      </c>
      <c r="E37" s="238" t="str">
        <f>AHS!D333</f>
        <v xml:space="preserve">1 M² </v>
      </c>
      <c r="F37" s="239" t="str">
        <f>AHS!E333</f>
        <v xml:space="preserve">Pasang Atap </v>
      </c>
      <c r="G37" s="240"/>
      <c r="H37" s="240"/>
      <c r="I37" s="240"/>
      <c r="J37" s="241"/>
      <c r="K37" s="242">
        <f>AHS!O344</f>
        <v>91460</v>
      </c>
      <c r="N37" s="264"/>
    </row>
    <row r="38" spans="3:15" ht="20.100000000000001" customHeight="1" x14ac:dyDescent="0.3">
      <c r="C38" s="237"/>
      <c r="D38" s="238" t="str">
        <f>" "&amp;AHS!B346&amp;" "&amp;AHS!C346&amp;""</f>
        <v xml:space="preserve"> PL6.2 </v>
      </c>
      <c r="E38" s="238" t="str">
        <f>AHS!D346</f>
        <v xml:space="preserve">1 M² </v>
      </c>
      <c r="F38" s="239" t="str">
        <f>AHS!E346</f>
        <v>Plesteran 1:4 tebal 10 mm</v>
      </c>
      <c r="G38" s="240"/>
      <c r="H38" s="240"/>
      <c r="I38" s="240"/>
      <c r="J38" s="241"/>
      <c r="K38" s="242">
        <f>AHS!O357</f>
        <v>81703</v>
      </c>
      <c r="N38" s="264"/>
    </row>
    <row r="39" spans="3:15" ht="20.100000000000001" customHeight="1" x14ac:dyDescent="0.3">
      <c r="C39" s="237"/>
      <c r="D39" s="238" t="str">
        <f>" "&amp;AHS!B358&amp;" "&amp;AHS!C358&amp;""</f>
        <v xml:space="preserve"> PPA,636 </v>
      </c>
      <c r="E39" s="238" t="str">
        <f>AHS!D358</f>
        <v xml:space="preserve">1 M' </v>
      </c>
      <c r="F39" s="239" t="str">
        <f>AHS!E358</f>
        <v>Pasang RabungSeng</v>
      </c>
      <c r="G39" s="240"/>
      <c r="H39" s="240"/>
      <c r="I39" s="240"/>
      <c r="J39" s="241"/>
      <c r="K39" s="242">
        <f>AHS!O369</f>
        <v>64720</v>
      </c>
      <c r="N39" s="264"/>
      <c r="O39" s="265"/>
    </row>
    <row r="40" spans="3:15" ht="20.100000000000001" customHeight="1" x14ac:dyDescent="0.3">
      <c r="C40" s="237"/>
      <c r="D40" s="238"/>
      <c r="E40" s="238"/>
      <c r="F40" s="239"/>
      <c r="G40" s="240"/>
      <c r="H40" s="240"/>
      <c r="I40" s="240"/>
      <c r="J40" s="241"/>
      <c r="K40" s="242"/>
    </row>
    <row r="41" spans="3:15" ht="20.100000000000001" customHeight="1" x14ac:dyDescent="0.3">
      <c r="C41" s="237"/>
      <c r="D41" s="238" t="str">
        <f>" "&amp;AHS!B373&amp;" "&amp;AHS!C373&amp;""</f>
        <v xml:space="preserve"> PPL 6.36</v>
      </c>
      <c r="E41" s="238" t="str">
        <f>AHS!D373</f>
        <v xml:space="preserve">1 M² </v>
      </c>
      <c r="F41" s="239" t="str">
        <f>AHS!E373</f>
        <v>Pasang lantai keramik ukuran 20 x 20 cm</v>
      </c>
      <c r="G41" s="240"/>
      <c r="H41" s="240"/>
      <c r="I41" s="240"/>
      <c r="J41" s="241"/>
      <c r="K41" s="242" t="e">
        <f>AHS!O386</f>
        <v>#N/A</v>
      </c>
    </row>
    <row r="42" spans="3:15" ht="20.100000000000001" customHeight="1" x14ac:dyDescent="0.3">
      <c r="C42" s="237"/>
      <c r="D42" s="238" t="str">
        <f>" "&amp;AHS!B388&amp;" "&amp;AHS!C388&amp;""</f>
        <v xml:space="preserve"> PPL 6.43</v>
      </c>
      <c r="E42" s="238" t="str">
        <f>AHS!D388</f>
        <v xml:space="preserve">1 M² </v>
      </c>
      <c r="F42" s="239" t="str">
        <f>AHS!E388</f>
        <v>Pasang lantai keramik ukuran 60 x 60 cm</v>
      </c>
      <c r="G42" s="240"/>
      <c r="H42" s="240"/>
      <c r="I42" s="240"/>
      <c r="J42" s="241"/>
      <c r="K42" s="242" t="e">
        <f>AHS!O401</f>
        <v>#N/A</v>
      </c>
    </row>
    <row r="43" spans="3:15" ht="20.100000000000001" customHeight="1" x14ac:dyDescent="0.3">
      <c r="C43" s="237"/>
      <c r="D43" s="238" t="str">
        <f>" "&amp;AHS!B403&amp;" "&amp;AHS!C403&amp;""</f>
        <v xml:space="preserve"> PPL 6.44</v>
      </c>
      <c r="E43" s="238" t="str">
        <f>AHS!D403</f>
        <v xml:space="preserve">1 M² </v>
      </c>
      <c r="F43" s="239" t="str">
        <f>AHS!E403</f>
        <v>Pasang lantai karpet</v>
      </c>
      <c r="G43" s="240"/>
      <c r="H43" s="240"/>
      <c r="I43" s="240"/>
      <c r="J43" s="241"/>
      <c r="K43" s="242">
        <f>AHS!O414</f>
        <v>129375</v>
      </c>
    </row>
    <row r="44" spans="3:15" ht="20.100000000000001" customHeight="1" x14ac:dyDescent="0.3">
      <c r="C44" s="237"/>
      <c r="D44" s="238" t="str">
        <f>" "&amp;AHS!B416&amp;" "&amp;AHS!C416&amp;""</f>
        <v xml:space="preserve"> PPL 6.54</v>
      </c>
      <c r="E44" s="238" t="str">
        <f>AHS!D416</f>
        <v xml:space="preserve">1 M² </v>
      </c>
      <c r="F44" s="239" t="str">
        <f>AHS!E416</f>
        <v>Pasang dinding keramik uk. 20 x 25 cm</v>
      </c>
      <c r="G44" s="240"/>
      <c r="H44" s="240"/>
      <c r="I44" s="240"/>
      <c r="J44" s="241"/>
      <c r="K44" s="242" t="e">
        <f>AHS!O429</f>
        <v>#N/A</v>
      </c>
    </row>
    <row r="45" spans="3:15" ht="20.100000000000001" customHeight="1" x14ac:dyDescent="0.3">
      <c r="C45" s="237"/>
      <c r="D45" s="238" t="str">
        <f>" "&amp;AHS!B431&amp;" "&amp;AHS!C431&amp;""</f>
        <v xml:space="preserve"> PPL 6.57</v>
      </c>
      <c r="E45" s="238" t="str">
        <f>AHS!D431</f>
        <v xml:space="preserve">1 M² </v>
      </c>
      <c r="F45" s="239" t="str">
        <f>AHS!E431</f>
        <v>Pasang dinding batu poros</v>
      </c>
      <c r="G45" s="240"/>
      <c r="H45" s="240"/>
      <c r="I45" s="240"/>
      <c r="J45" s="241"/>
      <c r="K45" s="242">
        <f>AHS!O443</f>
        <v>168053.125</v>
      </c>
    </row>
    <row r="46" spans="3:15" ht="20.100000000000001" customHeight="1" x14ac:dyDescent="0.3">
      <c r="C46" s="237"/>
      <c r="D46" s="238"/>
      <c r="E46" s="238"/>
      <c r="F46" s="239"/>
      <c r="G46" s="240"/>
      <c r="H46" s="240"/>
      <c r="I46" s="240"/>
      <c r="J46" s="241"/>
      <c r="K46" s="242"/>
    </row>
    <row r="47" spans="3:15" ht="20.100000000000001" customHeight="1" x14ac:dyDescent="0.3">
      <c r="C47" s="237"/>
      <c r="D47" s="238" t="str">
        <f>" "&amp;AHS!B447&amp;" "&amp;AHS!C447&amp;""</f>
        <v xml:space="preserve"> PLL 6.5</v>
      </c>
      <c r="E47" s="238" t="str">
        <f>AHS!D447</f>
        <v xml:space="preserve">1 M² </v>
      </c>
      <c r="F47" s="239" t="str">
        <f>AHS!E447</f>
        <v>Pasang langit - langit  Triplek 120 x 240 cm Tebal 4 mm</v>
      </c>
      <c r="G47" s="240"/>
      <c r="H47" s="240"/>
      <c r="I47" s="240"/>
      <c r="J47" s="241"/>
      <c r="K47" s="242">
        <f>AHS!O458</f>
        <v>29350</v>
      </c>
    </row>
    <row r="48" spans="3:15" ht="20.100000000000001" customHeight="1" x14ac:dyDescent="0.3">
      <c r="C48" s="237"/>
      <c r="D48" s="238" t="str">
        <f>" "&amp;AHS!B460&amp;" "&amp;AHS!C460&amp;""</f>
        <v xml:space="preserve"> PLL 6.7</v>
      </c>
      <c r="E48" s="238" t="str">
        <f>AHS!D460</f>
        <v xml:space="preserve">1 M² </v>
      </c>
      <c r="F48" s="239" t="str">
        <f>AHS!E460</f>
        <v>Pasang langit - langit  gypsum board 1200 x 2400 x 9 mm</v>
      </c>
      <c r="G48" s="240"/>
      <c r="H48" s="240"/>
      <c r="I48" s="240"/>
      <c r="J48" s="241"/>
      <c r="K48" s="242">
        <f>AHS!O471</f>
        <v>60260</v>
      </c>
    </row>
    <row r="49" spans="3:17" ht="20.100000000000001" customHeight="1" x14ac:dyDescent="0.3">
      <c r="C49" s="237"/>
      <c r="D49" s="238" t="str">
        <f>" "&amp;AHS!B473&amp;" "&amp;AHS!C473&amp;""</f>
        <v xml:space="preserve"> PLL 6.8</v>
      </c>
      <c r="E49" s="238" t="str">
        <f>AHS!D473</f>
        <v xml:space="preserve">1 M² </v>
      </c>
      <c r="F49" s="239" t="str">
        <f>AHS!E473</f>
        <v>Pasang list plafond gypsum profil</v>
      </c>
      <c r="G49" s="240"/>
      <c r="H49" s="240"/>
      <c r="I49" s="240"/>
      <c r="J49" s="241"/>
      <c r="K49" s="242">
        <f>AHS!O484</f>
        <v>31350</v>
      </c>
    </row>
    <row r="50" spans="3:17" ht="20.100000000000001" customHeight="1" x14ac:dyDescent="0.3">
      <c r="C50" s="237"/>
      <c r="D50" s="238"/>
      <c r="E50" s="238"/>
      <c r="F50" s="239"/>
      <c r="G50" s="240"/>
      <c r="H50" s="240"/>
      <c r="I50" s="240"/>
      <c r="J50" s="241"/>
      <c r="K50" s="242"/>
    </row>
    <row r="51" spans="3:17" ht="20.100000000000001" customHeight="1" x14ac:dyDescent="0.3">
      <c r="C51" s="237"/>
      <c r="D51" s="238" t="str">
        <f>" "&amp;AHS!B485&amp;" "&amp;AHS!C485&amp;""</f>
        <v xml:space="preserve"> PK 6.2</v>
      </c>
      <c r="E51" s="238" t="str">
        <f>AHS!D485</f>
        <v xml:space="preserve">1 m3 </v>
      </c>
      <c r="F51" s="239" t="str">
        <f>AHS!E485</f>
        <v>Memasang kusen pintu Kayu Klas II</v>
      </c>
      <c r="G51" s="240"/>
      <c r="H51" s="240"/>
      <c r="I51" s="240"/>
      <c r="J51" s="241"/>
      <c r="K51" s="242">
        <f>AHS!O497</f>
        <v>10930000</v>
      </c>
      <c r="N51" s="264"/>
    </row>
    <row r="52" spans="3:17" ht="20.100000000000001" customHeight="1" x14ac:dyDescent="0.3">
      <c r="C52" s="237"/>
      <c r="D52" s="238" t="str">
        <f>" "&amp;AHS!B499&amp;" "&amp;AHS!C499&amp;""</f>
        <v xml:space="preserve"> PK 6.5A</v>
      </c>
      <c r="E52" s="238" t="str">
        <f>AHS!D499</f>
        <v>1 m2</v>
      </c>
      <c r="F52" s="239" t="str">
        <f>AHS!E499</f>
        <v>Memasang daun pintu</v>
      </c>
      <c r="G52" s="240"/>
      <c r="H52" s="240"/>
      <c r="I52" s="240"/>
      <c r="J52" s="241"/>
      <c r="K52" s="242">
        <f>AHS!O510</f>
        <v>792500</v>
      </c>
      <c r="N52" s="264"/>
    </row>
    <row r="53" spans="3:17" ht="20.100000000000001" customHeight="1" x14ac:dyDescent="0.3">
      <c r="C53" s="237"/>
      <c r="D53" s="238" t="str">
        <f>" "&amp;AHS!B512&amp;" "&amp;AHS!C512&amp;""</f>
        <v xml:space="preserve"> PK 6.19</v>
      </c>
      <c r="E53" s="238" t="str">
        <f>AHS!D512</f>
        <v>1 m2</v>
      </c>
      <c r="F53" s="239" t="str">
        <f>AHS!E512</f>
        <v>Memasang daun jendela kaca rangka Kayu</v>
      </c>
      <c r="G53" s="240"/>
      <c r="H53" s="240"/>
      <c r="I53" s="240"/>
      <c r="J53" s="241"/>
      <c r="K53" s="242">
        <f>AHS!O523</f>
        <v>577500</v>
      </c>
    </row>
    <row r="54" spans="3:17" ht="20.100000000000001" customHeight="1" x14ac:dyDescent="0.3">
      <c r="C54" s="237"/>
      <c r="D54" s="238" t="str">
        <f>" "&amp;AHS!B525&amp;" "&amp;AHS!C525&amp;""</f>
        <v xml:space="preserve"> Anls.Hitung </v>
      </c>
      <c r="E54" s="238" t="str">
        <f>AHS!D525</f>
        <v>1 M2</v>
      </c>
      <c r="F54" s="239" t="str">
        <f>AHS!E525</f>
        <v>Pasang Rangka Atap Baja Ringan</v>
      </c>
      <c r="G54" s="240"/>
      <c r="H54" s="240"/>
      <c r="I54" s="240"/>
      <c r="J54" s="241"/>
      <c r="K54" s="242">
        <f>AHS!O539</f>
        <v>240298</v>
      </c>
    </row>
    <row r="55" spans="3:17" ht="20.100000000000001" customHeight="1" x14ac:dyDescent="0.3">
      <c r="C55" s="237"/>
      <c r="D55" s="238" t="str">
        <f>" "&amp;AHS!B541&amp;" "&amp;AHS!C541&amp;""</f>
        <v xml:space="preserve">  </v>
      </c>
      <c r="E55" s="238"/>
      <c r="F55" s="239"/>
      <c r="G55" s="240"/>
      <c r="H55" s="240"/>
      <c r="I55" s="240"/>
      <c r="J55" s="241"/>
      <c r="K55" s="242"/>
    </row>
    <row r="56" spans="3:17" ht="20.100000000000001" customHeight="1" x14ac:dyDescent="0.3">
      <c r="C56" s="237"/>
      <c r="D56" s="238"/>
      <c r="E56" s="238"/>
      <c r="F56" s="239"/>
      <c r="G56" s="240"/>
      <c r="H56" s="240"/>
      <c r="I56" s="240"/>
      <c r="J56" s="241"/>
      <c r="K56" s="242"/>
    </row>
    <row r="57" spans="3:17" ht="20.100000000000001" customHeight="1" x14ac:dyDescent="0.3">
      <c r="C57" s="237"/>
      <c r="D57" s="238"/>
      <c r="E57" s="238"/>
      <c r="F57" s="239"/>
      <c r="G57" s="240"/>
      <c r="H57" s="240"/>
      <c r="I57" s="240"/>
      <c r="J57" s="241"/>
      <c r="K57" s="242"/>
      <c r="M57" s="265"/>
      <c r="O57" s="266"/>
    </row>
    <row r="58" spans="3:17" ht="20.100000000000001" customHeight="1" x14ac:dyDescent="0.3">
      <c r="C58" s="237"/>
      <c r="D58" s="238" t="str">
        <f>" "&amp;AHS!B556&amp;" "&amp;AHS!C556&amp;""</f>
        <v xml:space="preserve"> PC 6.1</v>
      </c>
      <c r="E58" s="238" t="str">
        <f>AHS!D556</f>
        <v xml:space="preserve">1M² </v>
      </c>
      <c r="F58" s="239" t="str">
        <f>AHS!E556</f>
        <v>Menikis /Mengerok permukaan tembok lama</v>
      </c>
      <c r="G58" s="240"/>
      <c r="H58" s="240"/>
      <c r="I58" s="240"/>
      <c r="J58" s="241"/>
      <c r="K58" s="242">
        <f>AHS!O564</f>
        <v>17875</v>
      </c>
      <c r="M58" s="265"/>
      <c r="O58" s="266"/>
    </row>
    <row r="59" spans="3:17" ht="20.100000000000001" customHeight="1" x14ac:dyDescent="0.3">
      <c r="C59" s="237"/>
      <c r="D59" s="238" t="str">
        <f>" "&amp;AHS!B566&amp;" "&amp;AHS!C566&amp;""</f>
        <v xml:space="preserve"> PC 6.7</v>
      </c>
      <c r="E59" s="238" t="str">
        <f>AHS!D566</f>
        <v xml:space="preserve">1M² </v>
      </c>
      <c r="F59" s="239" t="str">
        <f>AHS!E566</f>
        <v>Pengecatan bidang kayu lama</v>
      </c>
      <c r="G59" s="240"/>
      <c r="H59" s="240"/>
      <c r="I59" s="240"/>
      <c r="J59" s="241"/>
      <c r="K59" s="242">
        <f>AHS!O578</f>
        <v>44930.630000000005</v>
      </c>
      <c r="M59" s="265"/>
      <c r="O59" s="266"/>
    </row>
    <row r="60" spans="3:17" ht="20.100000000000001" customHeight="1" x14ac:dyDescent="0.3">
      <c r="C60" s="237"/>
      <c r="D60" s="238" t="str">
        <f>" "&amp;AHS!B580&amp;" "&amp;AHS!C580&amp;""</f>
        <v xml:space="preserve"> PC 6.8</v>
      </c>
      <c r="E60" s="238" t="str">
        <f>AHS!D580</f>
        <v xml:space="preserve">1M² </v>
      </c>
      <c r="F60" s="239" t="str">
        <f>AHS!E580</f>
        <v>Pengecatan bidang kayu baru 1 lps Plamir, 1 lps cat dasar, 2 lps cat minyak</v>
      </c>
      <c r="G60" s="240"/>
      <c r="H60" s="240"/>
      <c r="I60" s="240"/>
      <c r="J60" s="241"/>
      <c r="K60" s="242">
        <f>AHS!O593</f>
        <v>60490.630000000005</v>
      </c>
      <c r="N60" s="264"/>
      <c r="O60" s="266"/>
    </row>
    <row r="61" spans="3:17" ht="20.100000000000001" customHeight="1" x14ac:dyDescent="0.3">
      <c r="C61" s="237"/>
      <c r="D61" s="238" t="str">
        <f>" "&amp;AHS!B595&amp;" "&amp;AHS!C595&amp;""</f>
        <v xml:space="preserve"> PC.6.14 </v>
      </c>
      <c r="E61" s="238" t="str">
        <f>AHS!D595</f>
        <v xml:space="preserve">1M² </v>
      </c>
      <c r="F61" s="239" t="str">
        <f>AHS!E595</f>
        <v>Pengecatan tembok baru ( 1 lapis plamir, 1 lapis cat dasar, 2 lapis cat penutup )</v>
      </c>
      <c r="G61" s="240"/>
      <c r="H61" s="240"/>
      <c r="I61" s="240"/>
      <c r="J61" s="241"/>
      <c r="K61" s="242">
        <f>AHS!O607</f>
        <v>39228.68</v>
      </c>
      <c r="N61" s="264"/>
      <c r="P61" s="1627"/>
      <c r="Q61" s="1627"/>
    </row>
    <row r="62" spans="3:17" ht="20.100000000000001" customHeight="1" x14ac:dyDescent="0.3">
      <c r="C62" s="237"/>
      <c r="D62" s="238" t="str">
        <f>" "&amp;AHS!B622&amp;" "&amp;AHS!C622&amp;""</f>
        <v xml:space="preserve"> PC 6.15</v>
      </c>
      <c r="E62" s="238" t="str">
        <f>AHS!D622</f>
        <v xml:space="preserve">1M² </v>
      </c>
      <c r="F62" s="239" t="str">
        <f>AHS!E622</f>
        <v>Pengecatan tembok lama (1 lapis cat dasar, 2 lapis cat penutup )</v>
      </c>
      <c r="G62" s="240"/>
      <c r="H62" s="240"/>
      <c r="I62" s="240"/>
      <c r="J62" s="241"/>
      <c r="K62" s="242">
        <f>AHS!O633</f>
        <v>29953.68</v>
      </c>
    </row>
    <row r="63" spans="3:17" ht="20.100000000000001" customHeight="1" x14ac:dyDescent="0.3">
      <c r="C63" s="237"/>
      <c r="D63" s="238" t="str">
        <f>" "&amp;AHS!B635&amp;" "&amp;AHS!C635&amp;""</f>
        <v xml:space="preserve"> PC 6.23</v>
      </c>
      <c r="E63" s="238" t="str">
        <f>AHS!D635</f>
        <v xml:space="preserve">1M² </v>
      </c>
      <c r="F63" s="239" t="str">
        <f>AHS!E635</f>
        <v xml:space="preserve">Pengecatan permukaan baja lapis seng </v>
      </c>
      <c r="G63" s="240"/>
      <c r="H63" s="240"/>
      <c r="I63" s="240"/>
      <c r="J63" s="241"/>
      <c r="K63" s="242">
        <f>AHS!O645</f>
        <v>61380</v>
      </c>
    </row>
    <row r="64" spans="3:17" ht="20.100000000000001" customHeight="1" x14ac:dyDescent="0.3">
      <c r="C64" s="237"/>
      <c r="D64" s="238"/>
      <c r="E64" s="238"/>
      <c r="F64" s="239"/>
      <c r="G64" s="240"/>
      <c r="H64" s="240"/>
      <c r="I64" s="240"/>
      <c r="J64" s="241"/>
      <c r="K64" s="242"/>
    </row>
    <row r="65" spans="3:14" ht="20.100000000000001" customHeight="1" x14ac:dyDescent="0.3">
      <c r="C65" s="237"/>
      <c r="D65" s="238" t="str">
        <f>" "&amp;AHS!B649&amp;" "&amp;AHS!C649&amp;""</f>
        <v xml:space="preserve"> PBA 6.11</v>
      </c>
      <c r="E65" s="238" t="str">
        <f>AHS!D649</f>
        <v xml:space="preserve">1 m1 </v>
      </c>
      <c r="F65" s="239" t="str">
        <f>AHS!E649</f>
        <v>Memasang kusen pintu alumunium</v>
      </c>
      <c r="G65" s="240"/>
      <c r="H65" s="240"/>
      <c r="I65" s="240"/>
      <c r="J65" s="241"/>
      <c r="K65" s="242">
        <f>AHS!O661</f>
        <v>41500</v>
      </c>
    </row>
    <row r="66" spans="3:14" ht="20.100000000000001" customHeight="1" x14ac:dyDescent="0.3">
      <c r="C66" s="237"/>
      <c r="D66" s="238" t="str">
        <f>" "&amp;AHS!B663&amp;" "&amp;AHS!C663&amp;""</f>
        <v xml:space="preserve"> PBA 6.18</v>
      </c>
      <c r="E66" s="238" t="str">
        <f>AHS!D663</f>
        <v>1 m2</v>
      </c>
      <c r="F66" s="239" t="str">
        <f>AHS!E663</f>
        <v>Memasang daunpintu kaca rangka alumunium</v>
      </c>
      <c r="G66" s="240"/>
      <c r="H66" s="240"/>
      <c r="I66" s="240"/>
      <c r="J66" s="241"/>
      <c r="K66" s="242">
        <f>AHS!O675</f>
        <v>261265</v>
      </c>
    </row>
    <row r="67" spans="3:14" ht="20.100000000000001" customHeight="1" x14ac:dyDescent="0.3">
      <c r="C67" s="237"/>
      <c r="D67" s="238" t="str">
        <f>" "&amp;AHS!B677&amp;" "&amp;AHS!C677&amp;""</f>
        <v xml:space="preserve"> PBA 6.19</v>
      </c>
      <c r="E67" s="238" t="str">
        <f>AHS!D677</f>
        <v>1 m2</v>
      </c>
      <c r="F67" s="239" t="str">
        <f>AHS!E677</f>
        <v>Memasang daun jendela kaca rangka alumunium</v>
      </c>
      <c r="G67" s="240"/>
      <c r="H67" s="240"/>
      <c r="I67" s="240"/>
      <c r="J67" s="241"/>
      <c r="K67" s="242">
        <f>AHS!O689</f>
        <v>261265</v>
      </c>
    </row>
    <row r="68" spans="3:14" ht="20.100000000000001" customHeight="1" x14ac:dyDescent="0.3">
      <c r="C68" s="237"/>
      <c r="D68" s="238"/>
      <c r="E68" s="238"/>
      <c r="F68" s="239"/>
      <c r="G68" s="240"/>
      <c r="H68" s="240"/>
      <c r="I68" s="240"/>
      <c r="J68" s="241"/>
      <c r="K68" s="242"/>
    </row>
    <row r="69" spans="3:14" ht="20.100000000000001" customHeight="1" x14ac:dyDescent="0.3">
      <c r="C69" s="237"/>
      <c r="D69" s="238" t="str">
        <f>" "&amp;AHS!B693&amp;" "&amp;AHS!C693&amp;""</f>
        <v xml:space="preserve"> PKK 6.4</v>
      </c>
      <c r="E69" s="238" t="str">
        <f>AHS!D693</f>
        <v xml:space="preserve">1 buah </v>
      </c>
      <c r="F69" s="239" t="str">
        <f>AHS!E693</f>
        <v>Pasang kunci silinder</v>
      </c>
      <c r="G69" s="240"/>
      <c r="H69" s="240"/>
      <c r="I69" s="240"/>
      <c r="J69" s="241"/>
      <c r="K69" s="242">
        <f>AHS!O703</f>
        <v>77937.5</v>
      </c>
    </row>
    <row r="70" spans="3:14" ht="20.100000000000001" customHeight="1" x14ac:dyDescent="0.3">
      <c r="C70" s="237"/>
      <c r="D70" s="238" t="str">
        <f>" "&amp;AHS!B704&amp;" "&amp;AHS!C704&amp;""</f>
        <v xml:space="preserve"> PKK 6.5</v>
      </c>
      <c r="E70" s="238" t="str">
        <f>AHS!D704</f>
        <v xml:space="preserve">1 buah </v>
      </c>
      <c r="F70" s="239" t="str">
        <f>AHS!E704</f>
        <v>Pasang engsel pintu tanam/floor hinge</v>
      </c>
      <c r="G70" s="240"/>
      <c r="H70" s="240"/>
      <c r="I70" s="240"/>
      <c r="J70" s="241"/>
      <c r="K70" s="242">
        <f>AHS!O714</f>
        <v>27262.5</v>
      </c>
    </row>
    <row r="71" spans="3:14" ht="20.100000000000001" customHeight="1" x14ac:dyDescent="0.3">
      <c r="C71" s="237"/>
      <c r="D71" s="238" t="str">
        <f>" "&amp;AHS!B716&amp;" "&amp;AHS!C716&amp;""</f>
        <v xml:space="preserve"> PKK 6.6</v>
      </c>
      <c r="E71" s="238" t="str">
        <f>AHS!D716</f>
        <v xml:space="preserve">1 buah </v>
      </c>
      <c r="F71" s="239" t="str">
        <f>AHS!E716</f>
        <v xml:space="preserve">Pasang engsel jendela </v>
      </c>
      <c r="G71" s="240"/>
      <c r="H71" s="240"/>
      <c r="I71" s="240"/>
      <c r="J71" s="241"/>
      <c r="K71" s="242">
        <f>AHS!O726</f>
        <v>18175</v>
      </c>
    </row>
    <row r="72" spans="3:14" ht="20.100000000000001" customHeight="1" x14ac:dyDescent="0.3">
      <c r="C72" s="237"/>
      <c r="D72" s="238" t="str">
        <f>" "&amp;AHS!B728&amp;" "&amp;AHS!C728&amp;""</f>
        <v xml:space="preserve"> PKK 6.9</v>
      </c>
      <c r="E72" s="238" t="str">
        <f>AHS!D728</f>
        <v xml:space="preserve">1 buah </v>
      </c>
      <c r="F72" s="239" t="str">
        <f>AHS!E728</f>
        <v>Pasang kait angin</v>
      </c>
      <c r="G72" s="240"/>
      <c r="H72" s="240"/>
      <c r="I72" s="240"/>
      <c r="J72" s="241"/>
      <c r="K72" s="242">
        <f>AHS!O738</f>
        <v>27262.5</v>
      </c>
    </row>
    <row r="73" spans="3:14" ht="20.100000000000001" customHeight="1" x14ac:dyDescent="0.3">
      <c r="C73" s="237"/>
      <c r="D73" s="238" t="str">
        <f>" "&amp;AHS!B740&amp;" "&amp;AHS!C740&amp;""</f>
        <v xml:space="preserve"> PKK 6.11</v>
      </c>
      <c r="E73" s="238" t="str">
        <f>AHS!D740</f>
        <v>1 buah</v>
      </c>
      <c r="F73" s="239" t="str">
        <f>AHS!E740</f>
        <v>Grendel/pacok jendela</v>
      </c>
      <c r="G73" s="240"/>
      <c r="H73" s="240"/>
      <c r="I73" s="240"/>
      <c r="J73" s="241"/>
      <c r="K73" s="242">
        <f>AHS!O750</f>
        <v>27262.5</v>
      </c>
    </row>
    <row r="74" spans="3:14" ht="20.100000000000001" customHeight="1" x14ac:dyDescent="0.3">
      <c r="C74" s="237"/>
      <c r="D74" s="238" t="str">
        <f>" "&amp;AHS!B752&amp;" "&amp;AHS!C752&amp;""</f>
        <v xml:space="preserve"> PKK 6.12</v>
      </c>
      <c r="E74" s="238" t="str">
        <f>AHS!D752</f>
        <v xml:space="preserve">1 buah </v>
      </c>
      <c r="F74" s="239" t="str">
        <f>AHS!E752</f>
        <v>Pasang pegangan pintu / door holder</v>
      </c>
      <c r="G74" s="240"/>
      <c r="H74" s="240"/>
      <c r="I74" s="240"/>
      <c r="J74" s="241"/>
      <c r="K74" s="242">
        <f>AHS!O762</f>
        <v>90875</v>
      </c>
    </row>
    <row r="75" spans="3:14" ht="20.100000000000001" customHeight="1" x14ac:dyDescent="0.3">
      <c r="C75" s="237"/>
      <c r="D75" s="238" t="str">
        <f>" "&amp;AHS!B764&amp;" "&amp;AHS!C764&amp;""</f>
        <v xml:space="preserve"> PKK 6.15</v>
      </c>
      <c r="E75" s="238" t="str">
        <f>AHS!D764</f>
        <v xml:space="preserve">1 buah </v>
      </c>
      <c r="F75" s="239" t="str">
        <f>AHS!E764</f>
        <v>Pasang slot/grendel pintu double</v>
      </c>
      <c r="G75" s="240"/>
      <c r="H75" s="240"/>
      <c r="I75" s="240"/>
      <c r="J75" s="241"/>
      <c r="K75" s="242">
        <f>AHS!O774</f>
        <v>90875</v>
      </c>
    </row>
    <row r="76" spans="3:14" ht="20.100000000000001" customHeight="1" x14ac:dyDescent="0.3">
      <c r="C76" s="237"/>
      <c r="D76" s="238" t="str">
        <f>" "&amp;AHS!B776&amp;" "&amp;AHS!C776&amp;""</f>
        <v xml:space="preserve"> PKK 6.17</v>
      </c>
      <c r="E76" s="238" t="str">
        <f>AHS!D776</f>
        <v xml:space="preserve">1 M² </v>
      </c>
      <c r="F76" s="239" t="str">
        <f>AHS!E776</f>
        <v>Pasang kaca, tebal 5 mm</v>
      </c>
      <c r="G76" s="240"/>
      <c r="H76" s="240"/>
      <c r="I76" s="240"/>
      <c r="J76" s="241"/>
      <c r="K76" s="242">
        <f>AHS!O786</f>
        <v>28167.5</v>
      </c>
    </row>
    <row r="77" spans="3:14" ht="20.100000000000001" customHeight="1" x14ac:dyDescent="0.3">
      <c r="C77" s="238"/>
      <c r="D77" s="238"/>
      <c r="E77" s="238"/>
      <c r="F77" s="239"/>
      <c r="G77" s="240"/>
      <c r="H77" s="240"/>
      <c r="I77" s="240"/>
      <c r="J77" s="241"/>
      <c r="K77" s="242"/>
      <c r="N77" s="267"/>
    </row>
    <row r="78" spans="3:14" ht="20.100000000000001" customHeight="1" x14ac:dyDescent="0.3">
      <c r="K78" s="268"/>
    </row>
    <row r="79" spans="3:14" ht="20.100000000000001" customHeight="1" x14ac:dyDescent="0.3">
      <c r="K79" s="268"/>
    </row>
    <row r="80" spans="3:14" ht="20.100000000000001" customHeight="1" x14ac:dyDescent="0.3">
      <c r="K80" s="268"/>
    </row>
    <row r="81" spans="11:11" ht="20.100000000000001" customHeight="1" x14ac:dyDescent="0.3">
      <c r="K81" s="268"/>
    </row>
    <row r="82" spans="11:11" ht="20.100000000000001" customHeight="1" x14ac:dyDescent="0.3">
      <c r="K82" s="268"/>
    </row>
    <row r="83" spans="11:11" ht="20.100000000000001" customHeight="1" x14ac:dyDescent="0.3">
      <c r="K83" s="268"/>
    </row>
    <row r="84" spans="11:11" ht="20.100000000000001" customHeight="1" x14ac:dyDescent="0.3">
      <c r="K84" s="268"/>
    </row>
    <row r="85" spans="11:11" ht="20.100000000000001" customHeight="1" x14ac:dyDescent="0.3">
      <c r="K85" s="268"/>
    </row>
    <row r="86" spans="11:11" ht="20.100000000000001" customHeight="1" x14ac:dyDescent="0.3">
      <c r="K86" s="268"/>
    </row>
    <row r="87" spans="11:11" ht="20.100000000000001" customHeight="1" x14ac:dyDescent="0.3">
      <c r="K87" s="268"/>
    </row>
    <row r="88" spans="11:11" ht="20.100000000000001" customHeight="1" x14ac:dyDescent="0.3">
      <c r="K88" s="268"/>
    </row>
    <row r="89" spans="11:11" ht="20.100000000000001" customHeight="1" x14ac:dyDescent="0.3">
      <c r="K89" s="268"/>
    </row>
    <row r="90" spans="11:11" ht="20.100000000000001" customHeight="1" x14ac:dyDescent="0.3">
      <c r="K90" s="268"/>
    </row>
    <row r="91" spans="11:11" ht="20.100000000000001" customHeight="1" x14ac:dyDescent="0.3">
      <c r="K91" s="268"/>
    </row>
    <row r="92" spans="11:11" ht="20.100000000000001" customHeight="1" x14ac:dyDescent="0.3">
      <c r="K92" s="268"/>
    </row>
    <row r="93" spans="11:11" ht="20.100000000000001" customHeight="1" x14ac:dyDescent="0.3">
      <c r="K93" s="268"/>
    </row>
    <row r="94" spans="11:11" ht="20.100000000000001" customHeight="1" x14ac:dyDescent="0.3">
      <c r="K94" s="268"/>
    </row>
    <row r="95" spans="11:11" ht="20.100000000000001" customHeight="1" x14ac:dyDescent="0.3">
      <c r="K95" s="268"/>
    </row>
    <row r="96" spans="11:11" ht="20.100000000000001" customHeight="1" x14ac:dyDescent="0.3">
      <c r="K96" s="268"/>
    </row>
    <row r="97" spans="11:11" ht="20.100000000000001" customHeight="1" x14ac:dyDescent="0.3">
      <c r="K97" s="268"/>
    </row>
    <row r="98" spans="11:11" ht="20.100000000000001" customHeight="1" x14ac:dyDescent="0.3">
      <c r="K98" s="268"/>
    </row>
    <row r="99" spans="11:11" ht="20.100000000000001" customHeight="1" x14ac:dyDescent="0.3">
      <c r="K99" s="268"/>
    </row>
    <row r="100" spans="11:11" ht="20.100000000000001" customHeight="1" x14ac:dyDescent="0.3">
      <c r="K100" s="268"/>
    </row>
    <row r="101" spans="11:11" ht="20.100000000000001" customHeight="1" x14ac:dyDescent="0.3">
      <c r="K101" s="268"/>
    </row>
    <row r="102" spans="11:11" ht="20.100000000000001" customHeight="1" x14ac:dyDescent="0.3">
      <c r="K102" s="268"/>
    </row>
    <row r="103" spans="11:11" ht="20.100000000000001" customHeight="1" x14ac:dyDescent="0.3">
      <c r="K103" s="268"/>
    </row>
    <row r="104" spans="11:11" ht="20.100000000000001" customHeight="1" x14ac:dyDescent="0.3">
      <c r="K104" s="268"/>
    </row>
    <row r="105" spans="11:11" ht="20.100000000000001" customHeight="1" x14ac:dyDescent="0.3">
      <c r="K105" s="268"/>
    </row>
    <row r="106" spans="11:11" ht="20.100000000000001" customHeight="1" x14ac:dyDescent="0.3">
      <c r="K106" s="268"/>
    </row>
    <row r="107" spans="11:11" ht="20.100000000000001" customHeight="1" x14ac:dyDescent="0.3">
      <c r="K107" s="268"/>
    </row>
    <row r="108" spans="11:11" ht="20.100000000000001" customHeight="1" x14ac:dyDescent="0.3">
      <c r="K108" s="268"/>
    </row>
    <row r="109" spans="11:11" ht="20.100000000000001" customHeight="1" x14ac:dyDescent="0.3">
      <c r="K109" s="268"/>
    </row>
    <row r="110" spans="11:11" ht="20.100000000000001" customHeight="1" x14ac:dyDescent="0.3">
      <c r="K110" s="268"/>
    </row>
    <row r="111" spans="11:11" ht="20.100000000000001" customHeight="1" x14ac:dyDescent="0.3">
      <c r="K111" s="268"/>
    </row>
    <row r="112" spans="11:11" ht="20.100000000000001" customHeight="1" x14ac:dyDescent="0.3">
      <c r="K112" s="268"/>
    </row>
    <row r="113" spans="11:11" ht="20.100000000000001" customHeight="1" x14ac:dyDescent="0.3">
      <c r="K113" s="268"/>
    </row>
    <row r="114" spans="11:11" ht="20.100000000000001" customHeight="1" x14ac:dyDescent="0.3">
      <c r="K114" s="268"/>
    </row>
    <row r="115" spans="11:11" ht="20.100000000000001" customHeight="1" x14ac:dyDescent="0.3">
      <c r="K115" s="268"/>
    </row>
    <row r="116" spans="11:11" ht="20.100000000000001" customHeight="1" x14ac:dyDescent="0.3">
      <c r="K116" s="268"/>
    </row>
    <row r="117" spans="11:11" ht="20.100000000000001" customHeight="1" x14ac:dyDescent="0.3">
      <c r="K117" s="268"/>
    </row>
    <row r="118" spans="11:11" ht="20.100000000000001" customHeight="1" x14ac:dyDescent="0.3">
      <c r="K118" s="268"/>
    </row>
    <row r="119" spans="11:11" ht="20.100000000000001" customHeight="1" x14ac:dyDescent="0.3">
      <c r="K119" s="268"/>
    </row>
    <row r="120" spans="11:11" ht="20.100000000000001" customHeight="1" x14ac:dyDescent="0.3">
      <c r="K120" s="268"/>
    </row>
    <row r="121" spans="11:11" ht="20.100000000000001" customHeight="1" x14ac:dyDescent="0.3">
      <c r="K121" s="268"/>
    </row>
    <row r="122" spans="11:11" ht="20.100000000000001" customHeight="1" x14ac:dyDescent="0.3">
      <c r="K122" s="268"/>
    </row>
    <row r="123" spans="11:11" ht="20.100000000000001" customHeight="1" x14ac:dyDescent="0.3">
      <c r="K123" s="268"/>
    </row>
    <row r="124" spans="11:11" ht="20.100000000000001" customHeight="1" x14ac:dyDescent="0.3">
      <c r="K124" s="268"/>
    </row>
    <row r="125" spans="11:11" ht="20.100000000000001" customHeight="1" x14ac:dyDescent="0.3">
      <c r="K125" s="268"/>
    </row>
    <row r="126" spans="11:11" ht="20.100000000000001" customHeight="1" x14ac:dyDescent="0.3">
      <c r="K126" s="268"/>
    </row>
    <row r="127" spans="11:11" ht="20.100000000000001" customHeight="1" x14ac:dyDescent="0.3">
      <c r="K127" s="268"/>
    </row>
    <row r="128" spans="11:11" ht="20.100000000000001" customHeight="1" x14ac:dyDescent="0.3">
      <c r="K128" s="268"/>
    </row>
    <row r="129" spans="11:11" ht="20.100000000000001" customHeight="1" x14ac:dyDescent="0.3">
      <c r="K129" s="268"/>
    </row>
    <row r="130" spans="11:11" ht="20.100000000000001" customHeight="1" x14ac:dyDescent="0.3">
      <c r="K130" s="268"/>
    </row>
    <row r="131" spans="11:11" ht="20.100000000000001" customHeight="1" x14ac:dyDescent="0.3">
      <c r="K131" s="268"/>
    </row>
    <row r="132" spans="11:11" ht="20.100000000000001" customHeight="1" x14ac:dyDescent="0.3">
      <c r="K132" s="268"/>
    </row>
    <row r="133" spans="11:11" ht="20.100000000000001" customHeight="1" x14ac:dyDescent="0.3">
      <c r="K133" s="268"/>
    </row>
    <row r="134" spans="11:11" ht="20.100000000000001" customHeight="1" x14ac:dyDescent="0.3">
      <c r="K134" s="268"/>
    </row>
    <row r="135" spans="11:11" ht="20.100000000000001" customHeight="1" x14ac:dyDescent="0.3">
      <c r="K135" s="268"/>
    </row>
    <row r="136" spans="11:11" ht="20.100000000000001" customHeight="1" x14ac:dyDescent="0.3">
      <c r="K136" s="268"/>
    </row>
    <row r="137" spans="11:11" ht="20.100000000000001" customHeight="1" x14ac:dyDescent="0.3">
      <c r="K137" s="268"/>
    </row>
    <row r="138" spans="11:11" ht="20.100000000000001" customHeight="1" x14ac:dyDescent="0.3">
      <c r="K138" s="268"/>
    </row>
    <row r="139" spans="11:11" ht="20.100000000000001" customHeight="1" x14ac:dyDescent="0.3">
      <c r="K139" s="268"/>
    </row>
    <row r="140" spans="11:11" ht="20.100000000000001" customHeight="1" x14ac:dyDescent="0.3">
      <c r="K140" s="268"/>
    </row>
    <row r="141" spans="11:11" ht="20.100000000000001" customHeight="1" x14ac:dyDescent="0.3">
      <c r="K141" s="268"/>
    </row>
    <row r="142" spans="11:11" ht="20.100000000000001" customHeight="1" x14ac:dyDescent="0.3">
      <c r="K142" s="268"/>
    </row>
    <row r="143" spans="11:11" ht="20.100000000000001" customHeight="1" x14ac:dyDescent="0.3">
      <c r="K143" s="268"/>
    </row>
    <row r="144" spans="11:11" ht="20.100000000000001" customHeight="1" x14ac:dyDescent="0.3">
      <c r="K144" s="268"/>
    </row>
    <row r="145" spans="11:11" ht="20.100000000000001" customHeight="1" x14ac:dyDescent="0.3">
      <c r="K145" s="268"/>
    </row>
    <row r="146" spans="11:11" ht="20.100000000000001" customHeight="1" x14ac:dyDescent="0.3">
      <c r="K146" s="268"/>
    </row>
    <row r="147" spans="11:11" ht="20.100000000000001" customHeight="1" x14ac:dyDescent="0.3">
      <c r="K147" s="268"/>
    </row>
    <row r="148" spans="11:11" ht="20.100000000000001" customHeight="1" x14ac:dyDescent="0.3">
      <c r="K148" s="268"/>
    </row>
    <row r="149" spans="11:11" ht="20.100000000000001" customHeight="1" x14ac:dyDescent="0.3">
      <c r="K149" s="268"/>
    </row>
    <row r="150" spans="11:11" ht="20.100000000000001" customHeight="1" x14ac:dyDescent="0.3">
      <c r="K150" s="268"/>
    </row>
    <row r="151" spans="11:11" ht="20.100000000000001" customHeight="1" x14ac:dyDescent="0.3">
      <c r="K151" s="268"/>
    </row>
    <row r="152" spans="11:11" ht="20.100000000000001" customHeight="1" x14ac:dyDescent="0.3">
      <c r="K152" s="268"/>
    </row>
    <row r="153" spans="11:11" ht="20.100000000000001" customHeight="1" x14ac:dyDescent="0.3">
      <c r="K153" s="268"/>
    </row>
    <row r="154" spans="11:11" ht="20.100000000000001" customHeight="1" x14ac:dyDescent="0.3">
      <c r="K154" s="268"/>
    </row>
    <row r="155" spans="11:11" ht="20.100000000000001" customHeight="1" x14ac:dyDescent="0.3">
      <c r="K155" s="268"/>
    </row>
    <row r="156" spans="11:11" ht="20.100000000000001" customHeight="1" x14ac:dyDescent="0.3">
      <c r="K156" s="268"/>
    </row>
    <row r="157" spans="11:11" ht="20.100000000000001" customHeight="1" x14ac:dyDescent="0.3">
      <c r="K157" s="268"/>
    </row>
    <row r="158" spans="11:11" ht="20.100000000000001" customHeight="1" x14ac:dyDescent="0.3">
      <c r="K158" s="268"/>
    </row>
    <row r="159" spans="11:11" ht="20.100000000000001" customHeight="1" x14ac:dyDescent="0.3">
      <c r="K159" s="268"/>
    </row>
    <row r="160" spans="11:11" ht="20.100000000000001" customHeight="1" x14ac:dyDescent="0.3">
      <c r="K160" s="268"/>
    </row>
    <row r="161" spans="11:11" ht="20.100000000000001" customHeight="1" x14ac:dyDescent="0.3">
      <c r="K161" s="268"/>
    </row>
    <row r="162" spans="11:11" ht="20.100000000000001" customHeight="1" x14ac:dyDescent="0.3">
      <c r="K162" s="268"/>
    </row>
    <row r="163" spans="11:11" ht="20.100000000000001" customHeight="1" x14ac:dyDescent="0.3">
      <c r="K163" s="268"/>
    </row>
    <row r="164" spans="11:11" ht="20.100000000000001" customHeight="1" x14ac:dyDescent="0.3">
      <c r="K164" s="268"/>
    </row>
    <row r="165" spans="11:11" ht="20.100000000000001" customHeight="1" x14ac:dyDescent="0.3">
      <c r="K165" s="268"/>
    </row>
    <row r="166" spans="11:11" ht="20.100000000000001" customHeight="1" x14ac:dyDescent="0.3">
      <c r="K166" s="268"/>
    </row>
    <row r="167" spans="11:11" ht="20.100000000000001" customHeight="1" x14ac:dyDescent="0.3">
      <c r="K167" s="268"/>
    </row>
    <row r="168" spans="11:11" ht="20.100000000000001" customHeight="1" x14ac:dyDescent="0.3">
      <c r="K168" s="268"/>
    </row>
    <row r="169" spans="11:11" ht="20.100000000000001" customHeight="1" x14ac:dyDescent="0.3">
      <c r="K169" s="268"/>
    </row>
    <row r="170" spans="11:11" ht="20.100000000000001" customHeight="1" x14ac:dyDescent="0.3">
      <c r="K170" s="268"/>
    </row>
    <row r="171" spans="11:11" ht="20.100000000000001" customHeight="1" x14ac:dyDescent="0.3">
      <c r="K171" s="268"/>
    </row>
    <row r="172" spans="11:11" ht="20.100000000000001" customHeight="1" x14ac:dyDescent="0.3">
      <c r="K172" s="268"/>
    </row>
    <row r="173" spans="11:11" ht="20.100000000000001" customHeight="1" x14ac:dyDescent="0.3">
      <c r="K173" s="268"/>
    </row>
    <row r="174" spans="11:11" ht="20.100000000000001" customHeight="1" x14ac:dyDescent="0.3">
      <c r="K174" s="268"/>
    </row>
    <row r="175" spans="11:11" ht="20.100000000000001" customHeight="1" x14ac:dyDescent="0.3">
      <c r="K175" s="268"/>
    </row>
    <row r="176" spans="11:11" ht="20.100000000000001" customHeight="1" x14ac:dyDescent="0.3">
      <c r="K176" s="268"/>
    </row>
    <row r="177" spans="11:11" ht="20.100000000000001" customHeight="1" x14ac:dyDescent="0.3">
      <c r="K177" s="268"/>
    </row>
    <row r="178" spans="11:11" ht="20.100000000000001" customHeight="1" x14ac:dyDescent="0.3">
      <c r="K178" s="268"/>
    </row>
    <row r="179" spans="11:11" ht="20.100000000000001" customHeight="1" x14ac:dyDescent="0.3">
      <c r="K179" s="268"/>
    </row>
    <row r="180" spans="11:11" ht="20.100000000000001" customHeight="1" x14ac:dyDescent="0.3">
      <c r="K180" s="268"/>
    </row>
    <row r="181" spans="11:11" ht="20.100000000000001" customHeight="1" x14ac:dyDescent="0.3">
      <c r="K181" s="268"/>
    </row>
    <row r="182" spans="11:11" ht="20.100000000000001" customHeight="1" x14ac:dyDescent="0.3">
      <c r="K182" s="268"/>
    </row>
    <row r="183" spans="11:11" ht="20.100000000000001" customHeight="1" x14ac:dyDescent="0.3">
      <c r="K183" s="268"/>
    </row>
    <row r="184" spans="11:11" ht="20.100000000000001" customHeight="1" x14ac:dyDescent="0.3">
      <c r="K184" s="268"/>
    </row>
    <row r="185" spans="11:11" ht="20.100000000000001" customHeight="1" x14ac:dyDescent="0.3">
      <c r="K185" s="268"/>
    </row>
    <row r="186" spans="11:11" ht="20.100000000000001" customHeight="1" x14ac:dyDescent="0.3">
      <c r="K186" s="268"/>
    </row>
    <row r="187" spans="11:11" ht="20.100000000000001" customHeight="1" x14ac:dyDescent="0.3">
      <c r="K187" s="268"/>
    </row>
    <row r="188" spans="11:11" ht="20.100000000000001" customHeight="1" x14ac:dyDescent="0.3">
      <c r="K188" s="268"/>
    </row>
    <row r="189" spans="11:11" ht="20.100000000000001" customHeight="1" x14ac:dyDescent="0.3">
      <c r="K189" s="268"/>
    </row>
    <row r="190" spans="11:11" ht="20.100000000000001" customHeight="1" x14ac:dyDescent="0.3">
      <c r="K190" s="268"/>
    </row>
    <row r="191" spans="11:11" ht="20.100000000000001" customHeight="1" x14ac:dyDescent="0.3">
      <c r="K191" s="268"/>
    </row>
    <row r="192" spans="11:11" ht="20.100000000000001" customHeight="1" x14ac:dyDescent="0.3">
      <c r="K192" s="268"/>
    </row>
    <row r="193" spans="11:11" ht="20.100000000000001" customHeight="1" x14ac:dyDescent="0.3">
      <c r="K193" s="268"/>
    </row>
    <row r="194" spans="11:11" ht="20.100000000000001" customHeight="1" x14ac:dyDescent="0.3">
      <c r="K194" s="268"/>
    </row>
    <row r="195" spans="11:11" ht="20.100000000000001" customHeight="1" x14ac:dyDescent="0.3">
      <c r="K195" s="268"/>
    </row>
    <row r="196" spans="11:11" ht="20.100000000000001" customHeight="1" x14ac:dyDescent="0.3">
      <c r="K196" s="268"/>
    </row>
    <row r="197" spans="11:11" ht="20.100000000000001" customHeight="1" x14ac:dyDescent="0.3">
      <c r="K197" s="268"/>
    </row>
    <row r="198" spans="11:11" ht="20.100000000000001" customHeight="1" x14ac:dyDescent="0.3">
      <c r="K198" s="268"/>
    </row>
    <row r="199" spans="11:11" ht="20.100000000000001" customHeight="1" x14ac:dyDescent="0.3">
      <c r="K199" s="268"/>
    </row>
    <row r="200" spans="11:11" ht="20.100000000000001" customHeight="1" x14ac:dyDescent="0.3">
      <c r="K200" s="268"/>
    </row>
    <row r="201" spans="11:11" ht="20.100000000000001" customHeight="1" x14ac:dyDescent="0.3">
      <c r="K201" s="268"/>
    </row>
    <row r="202" spans="11:11" ht="20.100000000000001" customHeight="1" x14ac:dyDescent="0.3">
      <c r="K202" s="268"/>
    </row>
    <row r="203" spans="11:11" ht="20.100000000000001" customHeight="1" x14ac:dyDescent="0.3">
      <c r="K203" s="268"/>
    </row>
    <row r="204" spans="11:11" ht="20.100000000000001" customHeight="1" x14ac:dyDescent="0.3">
      <c r="K204" s="268"/>
    </row>
    <row r="205" spans="11:11" ht="20.100000000000001" customHeight="1" x14ac:dyDescent="0.3">
      <c r="K205" s="268"/>
    </row>
    <row r="206" spans="11:11" ht="20.100000000000001" customHeight="1" x14ac:dyDescent="0.3">
      <c r="K206" s="268"/>
    </row>
    <row r="207" spans="11:11" ht="20.100000000000001" customHeight="1" x14ac:dyDescent="0.3">
      <c r="K207" s="268"/>
    </row>
    <row r="208" spans="11:11" ht="20.100000000000001" customHeight="1" x14ac:dyDescent="0.3">
      <c r="K208" s="268"/>
    </row>
    <row r="209" spans="11:11" ht="20.100000000000001" customHeight="1" x14ac:dyDescent="0.3">
      <c r="K209" s="268"/>
    </row>
    <row r="210" spans="11:11" ht="20.100000000000001" customHeight="1" x14ac:dyDescent="0.3">
      <c r="K210" s="268"/>
    </row>
    <row r="211" spans="11:11" ht="20.100000000000001" customHeight="1" x14ac:dyDescent="0.3">
      <c r="K211" s="268"/>
    </row>
    <row r="212" spans="11:11" ht="20.100000000000001" customHeight="1" x14ac:dyDescent="0.3">
      <c r="K212" s="268"/>
    </row>
    <row r="213" spans="11:11" ht="20.100000000000001" customHeight="1" x14ac:dyDescent="0.3">
      <c r="K213" s="268"/>
    </row>
    <row r="214" spans="11:11" ht="20.100000000000001" customHeight="1" x14ac:dyDescent="0.3">
      <c r="K214" s="268"/>
    </row>
    <row r="215" spans="11:11" ht="20.100000000000001" customHeight="1" x14ac:dyDescent="0.3">
      <c r="K215" s="268"/>
    </row>
    <row r="216" spans="11:11" ht="20.100000000000001" customHeight="1" x14ac:dyDescent="0.3">
      <c r="K216" s="268"/>
    </row>
    <row r="217" spans="11:11" ht="20.100000000000001" customHeight="1" x14ac:dyDescent="0.3">
      <c r="K217" s="268"/>
    </row>
    <row r="218" spans="11:11" ht="20.100000000000001" customHeight="1" x14ac:dyDescent="0.3">
      <c r="K218" s="268"/>
    </row>
    <row r="219" spans="11:11" ht="20.100000000000001" customHeight="1" x14ac:dyDescent="0.3">
      <c r="K219" s="268"/>
    </row>
    <row r="220" spans="11:11" ht="20.100000000000001" customHeight="1" x14ac:dyDescent="0.3">
      <c r="K220" s="268"/>
    </row>
    <row r="221" spans="11:11" ht="20.100000000000001" customHeight="1" x14ac:dyDescent="0.3">
      <c r="K221" s="268"/>
    </row>
    <row r="222" spans="11:11" ht="20.100000000000001" customHeight="1" x14ac:dyDescent="0.3">
      <c r="K222" s="268"/>
    </row>
    <row r="223" spans="11:11" ht="20.100000000000001" customHeight="1" x14ac:dyDescent="0.3">
      <c r="K223" s="268"/>
    </row>
    <row r="224" spans="11:11" ht="20.100000000000001" customHeight="1" x14ac:dyDescent="0.3">
      <c r="K224" s="268"/>
    </row>
    <row r="225" spans="11:11" ht="20.100000000000001" customHeight="1" x14ac:dyDescent="0.3">
      <c r="K225" s="268"/>
    </row>
    <row r="226" spans="11:11" ht="20.100000000000001" customHeight="1" x14ac:dyDescent="0.3">
      <c r="K226" s="268"/>
    </row>
    <row r="227" spans="11:11" ht="20.100000000000001" customHeight="1" x14ac:dyDescent="0.3">
      <c r="K227" s="268"/>
    </row>
    <row r="228" spans="11:11" ht="20.100000000000001" customHeight="1" x14ac:dyDescent="0.3">
      <c r="K228" s="268"/>
    </row>
    <row r="229" spans="11:11" ht="20.100000000000001" customHeight="1" x14ac:dyDescent="0.3">
      <c r="K229" s="268"/>
    </row>
    <row r="230" spans="11:11" ht="20.100000000000001" customHeight="1" x14ac:dyDescent="0.3">
      <c r="K230" s="268"/>
    </row>
    <row r="231" spans="11:11" ht="20.100000000000001" customHeight="1" x14ac:dyDescent="0.3">
      <c r="K231" s="268"/>
    </row>
    <row r="232" spans="11:11" ht="20.100000000000001" customHeight="1" x14ac:dyDescent="0.3">
      <c r="K232" s="268"/>
    </row>
    <row r="233" spans="11:11" ht="20.100000000000001" customHeight="1" x14ac:dyDescent="0.3">
      <c r="K233" s="268"/>
    </row>
    <row r="234" spans="11:11" ht="20.100000000000001" customHeight="1" x14ac:dyDescent="0.3">
      <c r="K234" s="268"/>
    </row>
    <row r="235" spans="11:11" ht="20.100000000000001" customHeight="1" x14ac:dyDescent="0.3">
      <c r="K235" s="268"/>
    </row>
    <row r="236" spans="11:11" ht="20.100000000000001" customHeight="1" x14ac:dyDescent="0.3">
      <c r="K236" s="268"/>
    </row>
    <row r="237" spans="11:11" ht="20.100000000000001" customHeight="1" x14ac:dyDescent="0.3">
      <c r="K237" s="268"/>
    </row>
    <row r="238" spans="11:11" ht="20.100000000000001" customHeight="1" x14ac:dyDescent="0.3">
      <c r="K238" s="268"/>
    </row>
    <row r="239" spans="11:11" ht="20.100000000000001" customHeight="1" x14ac:dyDescent="0.3">
      <c r="K239" s="268"/>
    </row>
    <row r="240" spans="11:11" ht="20.100000000000001" customHeight="1" x14ac:dyDescent="0.3">
      <c r="K240" s="268"/>
    </row>
    <row r="241" spans="11:11" ht="20.100000000000001" customHeight="1" x14ac:dyDescent="0.3">
      <c r="K241" s="268"/>
    </row>
    <row r="242" spans="11:11" ht="20.100000000000001" customHeight="1" x14ac:dyDescent="0.3">
      <c r="K242" s="268"/>
    </row>
    <row r="243" spans="11:11" ht="20.100000000000001" customHeight="1" x14ac:dyDescent="0.3">
      <c r="K243" s="268"/>
    </row>
    <row r="244" spans="11:11" ht="20.100000000000001" customHeight="1" x14ac:dyDescent="0.3">
      <c r="K244" s="268"/>
    </row>
    <row r="245" spans="11:11" ht="20.100000000000001" customHeight="1" x14ac:dyDescent="0.3">
      <c r="K245" s="268"/>
    </row>
    <row r="246" spans="11:11" ht="20.100000000000001" customHeight="1" x14ac:dyDescent="0.3">
      <c r="K246" s="268"/>
    </row>
    <row r="247" spans="11:11" ht="20.100000000000001" customHeight="1" x14ac:dyDescent="0.3">
      <c r="K247" s="268"/>
    </row>
    <row r="248" spans="11:11" ht="20.100000000000001" customHeight="1" x14ac:dyDescent="0.3">
      <c r="K248" s="268"/>
    </row>
    <row r="249" spans="11:11" ht="20.100000000000001" customHeight="1" x14ac:dyDescent="0.3">
      <c r="K249" s="268"/>
    </row>
    <row r="250" spans="11:11" ht="20.100000000000001" customHeight="1" x14ac:dyDescent="0.3">
      <c r="K250" s="268"/>
    </row>
    <row r="251" spans="11:11" ht="20.100000000000001" customHeight="1" x14ac:dyDescent="0.3">
      <c r="K251" s="268"/>
    </row>
    <row r="252" spans="11:11" ht="20.100000000000001" customHeight="1" x14ac:dyDescent="0.3">
      <c r="K252" s="268"/>
    </row>
    <row r="253" spans="11:11" ht="20.100000000000001" customHeight="1" x14ac:dyDescent="0.3">
      <c r="K253" s="268"/>
    </row>
    <row r="254" spans="11:11" ht="20.100000000000001" customHeight="1" x14ac:dyDescent="0.3">
      <c r="K254" s="268"/>
    </row>
    <row r="255" spans="11:11" ht="20.100000000000001" customHeight="1" x14ac:dyDescent="0.3">
      <c r="K255" s="268"/>
    </row>
    <row r="256" spans="11:11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</sheetData>
  <mergeCells count="2">
    <mergeCell ref="F3:J3"/>
    <mergeCell ref="P61:Q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BACK UP BESI BETON BACKISTING</vt:lpstr>
      <vt:lpstr>REKP</vt:lpstr>
      <vt:lpstr>RAB</vt:lpstr>
      <vt:lpstr>DIHIT</vt:lpstr>
      <vt:lpstr>AHS-2016</vt:lpstr>
      <vt:lpstr>AHS</vt:lpstr>
      <vt:lpstr>UPah &amp; Bahan oke</vt:lpstr>
      <vt:lpstr>QUANTYTI OK</vt:lpstr>
      <vt:lpstr>REKAP</vt:lpstr>
      <vt:lpstr>DATA </vt:lpstr>
      <vt:lpstr>Hrg. Sat. Upah (3)</vt:lpstr>
      <vt:lpstr>AHS!Print_Area</vt:lpstr>
      <vt:lpstr>'AHS-2016'!Print_Area</vt:lpstr>
      <vt:lpstr>'BACK UP BESI BETON BACKISTING'!Print_Area</vt:lpstr>
      <vt:lpstr>DIHIT!Print_Area</vt:lpstr>
      <vt:lpstr>'Hrg. Sat. Upah (3)'!Print_Area</vt:lpstr>
      <vt:lpstr>'QUANTYTI OK'!Print_Area</vt:lpstr>
      <vt:lpstr>RAB!Print_Area</vt:lpstr>
      <vt:lpstr>REKP!Print_Area</vt:lpstr>
      <vt:lpstr>'UPah &amp; Bahan oke'!Print_Area</vt:lpstr>
      <vt:lpstr>DIHIT!Print_Titles</vt:lpstr>
      <vt:lpstr>'QUANTYTI OK'!Print_Titles</vt:lpstr>
      <vt:lpstr>RAB!Print_Titles</vt:lpstr>
      <vt:lpstr>'UPah &amp; Bahan oke'!Print_Titles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Dell</cp:lastModifiedBy>
  <cp:lastPrinted>2023-03-28T23:14:19Z</cp:lastPrinted>
  <dcterms:created xsi:type="dcterms:W3CDTF">2012-06-25T18:42:02Z</dcterms:created>
  <dcterms:modified xsi:type="dcterms:W3CDTF">2023-05-08T07:10:52Z</dcterms:modified>
</cp:coreProperties>
</file>