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rjaan\Pertanian 2023\Bidang Benih\1. Gudang Penyimpanan Benih\"/>
    </mc:Choice>
  </mc:AlternateContent>
  <xr:revisionPtr revIDLastSave="0" documentId="13_ncr:1_{608005CF-4DAD-46CD-90A3-EA24A0969712}" xr6:coauthVersionLast="45" xr6:coauthVersionMax="47" xr10:uidLastSave="{00000000-0000-0000-0000-000000000000}"/>
  <bookViews>
    <workbookView xWindow="-120" yWindow="-120" windowWidth="19440" windowHeight="10440" activeTab="1" xr2:uid="{00000000-000D-0000-FFFF-FFFF00000000}"/>
  </bookViews>
  <sheets>
    <sheet name="REKAP" sheetId="5" r:id="rId1"/>
    <sheet name="RAB" sheetId="3" r:id="rId2"/>
    <sheet name="BackUp_Data" sheetId="8" r:id="rId3"/>
    <sheet name="Besi" sheetId="9" r:id="rId4"/>
    <sheet name="AHSP" sheetId="6" r:id="rId5"/>
    <sheet name="HARGA BAHAN" sheetId="4" r:id="rId6"/>
  </sheets>
  <definedNames>
    <definedName name="_xlnm.Print_Area" localSheetId="4">AHSP!$A$1:$F$1259</definedName>
    <definedName name="_xlnm.Print_Area" localSheetId="2">BackUp_Data!$A$1:$J$250</definedName>
    <definedName name="_xlnm.Print_Area" localSheetId="3">Besi!$A$1:$J$146</definedName>
    <definedName name="_xlnm.Print_Area" localSheetId="5">'HARGA BAHAN'!$A$1:$E$146</definedName>
    <definedName name="_xlnm.Print_Area" localSheetId="1">RAB!$A$1:$H$154</definedName>
    <definedName name="_xlnm.Print_Area" localSheetId="0">REKAP!$A$1:$D$45</definedName>
    <definedName name="_xlnm.Print_Titles" localSheetId="5">'HARGA BAHAN'!$2:$2</definedName>
    <definedName name="_xlnm.Print_Titles" localSheetId="1">RAB!$7:$7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3" l="1"/>
  <c r="E717" i="6"/>
  <c r="F717" i="6"/>
  <c r="E718" i="6"/>
  <c r="F718" i="6"/>
  <c r="E719" i="6"/>
  <c r="F719" i="6"/>
  <c r="E720" i="6"/>
  <c r="F720" i="6"/>
  <c r="F721" i="6"/>
  <c r="E723" i="6"/>
  <c r="F723" i="6"/>
  <c r="E78" i="4"/>
  <c r="E724" i="6"/>
  <c r="F724" i="6"/>
  <c r="F725" i="6"/>
  <c r="F728" i="6"/>
  <c r="F729" i="6"/>
  <c r="F730" i="6"/>
  <c r="F731" i="6"/>
  <c r="E677" i="6"/>
  <c r="F677" i="6"/>
  <c r="E678" i="6"/>
  <c r="F678" i="6"/>
  <c r="E679" i="6"/>
  <c r="F679" i="6"/>
  <c r="E680" i="6"/>
  <c r="F680" i="6"/>
  <c r="F681" i="6"/>
  <c r="E74" i="4"/>
  <c r="E683" i="6"/>
  <c r="F683" i="6"/>
  <c r="E684" i="6"/>
  <c r="F684" i="6"/>
  <c r="F685" i="6"/>
  <c r="F688" i="6"/>
  <c r="F689" i="6"/>
  <c r="F690" i="6"/>
  <c r="F691" i="6"/>
  <c r="E519" i="6"/>
  <c r="F519" i="6"/>
  <c r="E520" i="6"/>
  <c r="F520" i="6"/>
  <c r="E521" i="6"/>
  <c r="F521" i="6"/>
  <c r="E522" i="6"/>
  <c r="F522" i="6"/>
  <c r="F523" i="6"/>
  <c r="E49" i="4"/>
  <c r="E50" i="4"/>
  <c r="E525" i="6"/>
  <c r="F525" i="6"/>
  <c r="E80" i="4"/>
  <c r="E526" i="6"/>
  <c r="F526" i="6"/>
  <c r="E527" i="6"/>
  <c r="F527" i="6"/>
  <c r="F528" i="6"/>
  <c r="F531" i="6"/>
  <c r="F532" i="6"/>
  <c r="F533" i="6"/>
  <c r="F534" i="6"/>
  <c r="E454" i="6"/>
  <c r="F454" i="6"/>
  <c r="E455" i="6"/>
  <c r="F455" i="6"/>
  <c r="E456" i="6"/>
  <c r="F456" i="6"/>
  <c r="E457" i="6"/>
  <c r="F457" i="6"/>
  <c r="F458" i="6"/>
  <c r="E460" i="6"/>
  <c r="F460" i="6"/>
  <c r="E461" i="6"/>
  <c r="F461" i="6"/>
  <c r="E462" i="6"/>
  <c r="F462" i="6"/>
  <c r="F463" i="6"/>
  <c r="F466" i="6"/>
  <c r="F467" i="6"/>
  <c r="F468" i="6"/>
  <c r="F469" i="6"/>
  <c r="E236" i="6"/>
  <c r="F236" i="6"/>
  <c r="E237" i="6"/>
  <c r="F237" i="6"/>
  <c r="E238" i="6"/>
  <c r="F238" i="6"/>
  <c r="E239" i="6"/>
  <c r="F239" i="6"/>
  <c r="F240" i="6"/>
  <c r="E242" i="6"/>
  <c r="F242" i="6"/>
  <c r="E243" i="6"/>
  <c r="F243" i="6"/>
  <c r="E244" i="6"/>
  <c r="F244" i="6"/>
  <c r="F245" i="6"/>
  <c r="F248" i="6"/>
  <c r="F249" i="6"/>
  <c r="F250" i="6"/>
  <c r="F251" i="6"/>
  <c r="E42" i="6"/>
  <c r="F42" i="6"/>
  <c r="E43" i="6"/>
  <c r="F43" i="6"/>
  <c r="F44" i="6"/>
  <c r="F46" i="6"/>
  <c r="F47" i="6"/>
  <c r="F49" i="6"/>
  <c r="F50" i="6"/>
  <c r="F51" i="6"/>
  <c r="F52" i="6"/>
  <c r="F53" i="6"/>
  <c r="H31" i="3"/>
  <c r="H36" i="3"/>
  <c r="I10" i="8"/>
  <c r="C12" i="8"/>
  <c r="I12" i="8"/>
  <c r="I13" i="8"/>
  <c r="I14" i="8"/>
  <c r="I16" i="8"/>
  <c r="I18" i="8"/>
  <c r="I19" i="8"/>
  <c r="I21" i="8"/>
  <c r="I22" i="8"/>
  <c r="I23" i="8"/>
  <c r="E19" i="3"/>
  <c r="E8" i="6"/>
  <c r="F8" i="6"/>
  <c r="E9" i="6"/>
  <c r="F9" i="6"/>
  <c r="F10" i="6"/>
  <c r="F12" i="6"/>
  <c r="F13" i="6"/>
  <c r="F15" i="6"/>
  <c r="F16" i="6"/>
  <c r="F17" i="6"/>
  <c r="F18" i="6"/>
  <c r="F19" i="6"/>
  <c r="G19" i="3"/>
  <c r="H19" i="3"/>
  <c r="C25" i="8"/>
  <c r="D25" i="8"/>
  <c r="I25" i="8"/>
  <c r="D26" i="8"/>
  <c r="I26" i="8"/>
  <c r="D27" i="8"/>
  <c r="I27" i="8"/>
  <c r="I28" i="8"/>
  <c r="E20" i="3"/>
  <c r="E429" i="6"/>
  <c r="F429" i="6"/>
  <c r="E430" i="6"/>
  <c r="F430" i="6"/>
  <c r="E431" i="6"/>
  <c r="F431" i="6"/>
  <c r="E432" i="6"/>
  <c r="F432" i="6"/>
  <c r="F433" i="6"/>
  <c r="E435" i="6"/>
  <c r="F435" i="6"/>
  <c r="E436" i="6"/>
  <c r="F436" i="6"/>
  <c r="E437" i="6"/>
  <c r="F437" i="6"/>
  <c r="E438" i="6"/>
  <c r="F438" i="6"/>
  <c r="E439" i="6"/>
  <c r="F439" i="6"/>
  <c r="E440" i="6"/>
  <c r="F440" i="6"/>
  <c r="F441" i="6"/>
  <c r="F444" i="6"/>
  <c r="F445" i="6"/>
  <c r="F446" i="6"/>
  <c r="F447" i="6"/>
  <c r="G20" i="3"/>
  <c r="H20" i="3"/>
  <c r="D24" i="9"/>
  <c r="E24" i="9"/>
  <c r="F24" i="9"/>
  <c r="F28" i="9"/>
  <c r="F29" i="9"/>
  <c r="F30" i="9"/>
  <c r="D23" i="9"/>
  <c r="D22" i="9"/>
  <c r="E23" i="9"/>
  <c r="G23" i="9"/>
  <c r="G28" i="9"/>
  <c r="G29" i="9"/>
  <c r="G30" i="9"/>
  <c r="E22" i="9"/>
  <c r="H22" i="9"/>
  <c r="D25" i="9"/>
  <c r="E25" i="9"/>
  <c r="H25" i="9"/>
  <c r="D26" i="9"/>
  <c r="E26" i="9"/>
  <c r="H26" i="9"/>
  <c r="H28" i="9"/>
  <c r="H29" i="9"/>
  <c r="H30" i="9"/>
  <c r="I28" i="9"/>
  <c r="I29" i="9"/>
  <c r="I30" i="9"/>
  <c r="J28" i="9"/>
  <c r="J29" i="9"/>
  <c r="J30" i="9"/>
  <c r="F31" i="9"/>
  <c r="E21" i="3"/>
  <c r="E171" i="6"/>
  <c r="F171" i="6"/>
  <c r="E172" i="6"/>
  <c r="F172" i="6"/>
  <c r="E173" i="6"/>
  <c r="F173" i="6"/>
  <c r="E174" i="6"/>
  <c r="F174" i="6"/>
  <c r="F175" i="6"/>
  <c r="E177" i="6"/>
  <c r="F177" i="6"/>
  <c r="E178" i="6"/>
  <c r="F178" i="6"/>
  <c r="F179" i="6"/>
  <c r="F182" i="6"/>
  <c r="F183" i="6"/>
  <c r="F184" i="6"/>
  <c r="F185" i="6"/>
  <c r="F186" i="6"/>
  <c r="G21" i="3"/>
  <c r="H21" i="3"/>
  <c r="I55" i="8"/>
  <c r="I56" i="8"/>
  <c r="I57" i="8"/>
  <c r="I58" i="8"/>
  <c r="I59" i="8"/>
  <c r="I60" i="8"/>
  <c r="E22" i="3"/>
  <c r="E214" i="6"/>
  <c r="F214" i="6"/>
  <c r="E215" i="6"/>
  <c r="F215" i="6"/>
  <c r="E216" i="6"/>
  <c r="F216" i="6"/>
  <c r="E217" i="6"/>
  <c r="F217" i="6"/>
  <c r="F218" i="6"/>
  <c r="E220" i="6"/>
  <c r="F220" i="6"/>
  <c r="E221" i="6"/>
  <c r="F221" i="6"/>
  <c r="E18" i="4"/>
  <c r="E222" i="6"/>
  <c r="F222" i="6"/>
  <c r="E223" i="6"/>
  <c r="F223" i="6"/>
  <c r="F224" i="6"/>
  <c r="F227" i="6"/>
  <c r="F228" i="6"/>
  <c r="F229" i="6"/>
  <c r="F230" i="6"/>
  <c r="G22" i="3"/>
  <c r="H22" i="3"/>
  <c r="E23" i="3"/>
  <c r="E149" i="6"/>
  <c r="F149" i="6"/>
  <c r="E150" i="6"/>
  <c r="F150" i="6"/>
  <c r="E151" i="6"/>
  <c r="F151" i="6"/>
  <c r="E152" i="6"/>
  <c r="F152" i="6"/>
  <c r="F153" i="6"/>
  <c r="E155" i="6"/>
  <c r="F155" i="6"/>
  <c r="E156" i="6"/>
  <c r="F156" i="6"/>
  <c r="E157" i="6"/>
  <c r="F157" i="6"/>
  <c r="E158" i="6"/>
  <c r="F158" i="6"/>
  <c r="F159" i="6"/>
  <c r="F162" i="6"/>
  <c r="F163" i="6"/>
  <c r="F164" i="6"/>
  <c r="F165" i="6"/>
  <c r="G23" i="3"/>
  <c r="H23" i="3"/>
  <c r="I30" i="8"/>
  <c r="I31" i="8"/>
  <c r="I32" i="8"/>
  <c r="I33" i="8"/>
  <c r="I34" i="8"/>
  <c r="E24" i="3"/>
  <c r="E380" i="6"/>
  <c r="E405" i="6"/>
  <c r="F405" i="6"/>
  <c r="E381" i="6"/>
  <c r="E406" i="6"/>
  <c r="F406" i="6"/>
  <c r="E382" i="6"/>
  <c r="E407" i="6"/>
  <c r="F407" i="6"/>
  <c r="E383" i="6"/>
  <c r="E408" i="6"/>
  <c r="F408" i="6"/>
  <c r="F409" i="6"/>
  <c r="E386" i="6"/>
  <c r="E411" i="6"/>
  <c r="F411" i="6"/>
  <c r="E387" i="6"/>
  <c r="E412" i="6"/>
  <c r="F412" i="6"/>
  <c r="E388" i="6"/>
  <c r="E413" i="6"/>
  <c r="F413" i="6"/>
  <c r="E414" i="6"/>
  <c r="F414" i="6"/>
  <c r="E390" i="6"/>
  <c r="E415" i="6"/>
  <c r="F415" i="6"/>
  <c r="E391" i="6"/>
  <c r="E416" i="6"/>
  <c r="F416" i="6"/>
  <c r="F417" i="6"/>
  <c r="F420" i="6"/>
  <c r="F421" i="6"/>
  <c r="F422" i="6"/>
  <c r="F423" i="6"/>
  <c r="G24" i="3"/>
  <c r="H24" i="3"/>
  <c r="F14" i="9"/>
  <c r="F15" i="9"/>
  <c r="F16" i="9"/>
  <c r="D4" i="9"/>
  <c r="E4" i="9"/>
  <c r="G4" i="9"/>
  <c r="D5" i="9"/>
  <c r="E5" i="9"/>
  <c r="G5" i="9"/>
  <c r="D6" i="9"/>
  <c r="E6" i="9"/>
  <c r="G6" i="9"/>
  <c r="D7" i="9"/>
  <c r="E7" i="9"/>
  <c r="G7" i="9"/>
  <c r="D8" i="9"/>
  <c r="E8" i="9"/>
  <c r="G8" i="9"/>
  <c r="D9" i="9"/>
  <c r="E9" i="9"/>
  <c r="G9" i="9"/>
  <c r="D10" i="9"/>
  <c r="E10" i="9"/>
  <c r="G10" i="9"/>
  <c r="D11" i="9"/>
  <c r="E11" i="9"/>
  <c r="G11" i="9"/>
  <c r="D12" i="9"/>
  <c r="E12" i="9"/>
  <c r="G12" i="9"/>
  <c r="D13" i="9"/>
  <c r="E13" i="9"/>
  <c r="G13" i="9"/>
  <c r="G14" i="9"/>
  <c r="G15" i="9"/>
  <c r="G16" i="9"/>
  <c r="H14" i="9"/>
  <c r="H15" i="9"/>
  <c r="H16" i="9"/>
  <c r="I14" i="9"/>
  <c r="I15" i="9"/>
  <c r="I16" i="9"/>
  <c r="J14" i="9"/>
  <c r="J15" i="9"/>
  <c r="J16" i="9"/>
  <c r="F17" i="9"/>
  <c r="E25" i="3"/>
  <c r="G25" i="3"/>
  <c r="H25" i="3"/>
  <c r="I62" i="8"/>
  <c r="E26" i="3"/>
  <c r="G26" i="3"/>
  <c r="H26" i="3"/>
  <c r="D36" i="8"/>
  <c r="I36" i="8"/>
  <c r="D37" i="8"/>
  <c r="I37" i="8"/>
  <c r="D38" i="8"/>
  <c r="I38" i="8"/>
  <c r="D39" i="8"/>
  <c r="I39" i="8"/>
  <c r="D40" i="8"/>
  <c r="I40" i="8"/>
  <c r="D41" i="8"/>
  <c r="I41" i="8"/>
  <c r="D42" i="8"/>
  <c r="I42" i="8"/>
  <c r="D43" i="8"/>
  <c r="I43" i="8"/>
  <c r="I44" i="8"/>
  <c r="E27" i="3"/>
  <c r="F380" i="6"/>
  <c r="F381" i="6"/>
  <c r="F382" i="6"/>
  <c r="F383" i="6"/>
  <c r="F384" i="6"/>
  <c r="F386" i="6"/>
  <c r="F387" i="6"/>
  <c r="F388" i="6"/>
  <c r="E389" i="6"/>
  <c r="F389" i="6"/>
  <c r="F390" i="6"/>
  <c r="F391" i="6"/>
  <c r="F392" i="6"/>
  <c r="F395" i="6"/>
  <c r="F396" i="6"/>
  <c r="F397" i="6"/>
  <c r="F398" i="6"/>
  <c r="G27" i="3"/>
  <c r="H27" i="3"/>
  <c r="D38" i="9"/>
  <c r="E38" i="9"/>
  <c r="F38" i="9"/>
  <c r="D41" i="9"/>
  <c r="E41" i="9"/>
  <c r="F41" i="9"/>
  <c r="D44" i="9"/>
  <c r="E44" i="9"/>
  <c r="F44" i="9"/>
  <c r="D46" i="9"/>
  <c r="E46" i="9"/>
  <c r="F46" i="9"/>
  <c r="D48" i="9"/>
  <c r="E48" i="9"/>
  <c r="F48" i="9"/>
  <c r="D50" i="9"/>
  <c r="E50" i="9"/>
  <c r="F50" i="9"/>
  <c r="D53" i="9"/>
  <c r="E53" i="9"/>
  <c r="F53" i="9"/>
  <c r="D56" i="9"/>
  <c r="E56" i="9"/>
  <c r="F56" i="9"/>
  <c r="F57" i="9"/>
  <c r="F58" i="9"/>
  <c r="F59" i="9"/>
  <c r="G57" i="9"/>
  <c r="G58" i="9"/>
  <c r="G59" i="9"/>
  <c r="D37" i="9"/>
  <c r="H37" i="9"/>
  <c r="D40" i="9"/>
  <c r="H40" i="9"/>
  <c r="D43" i="9"/>
  <c r="H43" i="9"/>
  <c r="D52" i="9"/>
  <c r="H52" i="9"/>
  <c r="D55" i="9"/>
  <c r="H55" i="9"/>
  <c r="H57" i="9"/>
  <c r="H58" i="9"/>
  <c r="H59" i="9"/>
  <c r="D36" i="9"/>
  <c r="E36" i="9"/>
  <c r="I36" i="9"/>
  <c r="D39" i="9"/>
  <c r="E39" i="9"/>
  <c r="I39" i="9"/>
  <c r="D42" i="9"/>
  <c r="E42" i="9"/>
  <c r="I42" i="9"/>
  <c r="D45" i="9"/>
  <c r="E45" i="9"/>
  <c r="I45" i="9"/>
  <c r="D47" i="9"/>
  <c r="E47" i="9"/>
  <c r="I47" i="9"/>
  <c r="D49" i="9"/>
  <c r="E49" i="9"/>
  <c r="I49" i="9"/>
  <c r="D51" i="9"/>
  <c r="E51" i="9"/>
  <c r="I51" i="9"/>
  <c r="D54" i="9"/>
  <c r="E54" i="9"/>
  <c r="I54" i="9"/>
  <c r="I57" i="9"/>
  <c r="I58" i="9"/>
  <c r="I59" i="9"/>
  <c r="J57" i="9"/>
  <c r="J58" i="9"/>
  <c r="J59" i="9"/>
  <c r="F60" i="9"/>
  <c r="E28" i="3"/>
  <c r="G28" i="3"/>
  <c r="H28" i="3"/>
  <c r="I64" i="8"/>
  <c r="I65" i="8"/>
  <c r="I66" i="8"/>
  <c r="I67" i="8"/>
  <c r="I68" i="8"/>
  <c r="I69" i="8"/>
  <c r="I70" i="8"/>
  <c r="I71" i="8"/>
  <c r="I72" i="8"/>
  <c r="E29" i="3"/>
  <c r="G29" i="3"/>
  <c r="H29" i="3"/>
  <c r="G30" i="3"/>
  <c r="H30" i="3"/>
  <c r="E32" i="3"/>
  <c r="G32" i="3"/>
  <c r="H32" i="3"/>
  <c r="D46" i="8"/>
  <c r="E46" i="8"/>
  <c r="I46" i="8"/>
  <c r="D47" i="8"/>
  <c r="E47" i="8"/>
  <c r="I47" i="8"/>
  <c r="D48" i="8"/>
  <c r="E48" i="8"/>
  <c r="I48" i="8"/>
  <c r="D49" i="8"/>
  <c r="E49" i="8"/>
  <c r="I49" i="8"/>
  <c r="D50" i="8"/>
  <c r="E50" i="8"/>
  <c r="I50" i="8"/>
  <c r="D51" i="8"/>
  <c r="E51" i="8"/>
  <c r="I51" i="8"/>
  <c r="I52" i="8"/>
  <c r="E33" i="3"/>
  <c r="E355" i="6"/>
  <c r="F355" i="6"/>
  <c r="E356" i="6"/>
  <c r="F356" i="6"/>
  <c r="E357" i="6"/>
  <c r="F357" i="6"/>
  <c r="E358" i="6"/>
  <c r="F358" i="6"/>
  <c r="F359" i="6"/>
  <c r="E361" i="6"/>
  <c r="F361" i="6"/>
  <c r="E362" i="6"/>
  <c r="F362" i="6"/>
  <c r="E363" i="6"/>
  <c r="F363" i="6"/>
  <c r="E364" i="6"/>
  <c r="F364" i="6"/>
  <c r="E365" i="6"/>
  <c r="F365" i="6"/>
  <c r="E366" i="6"/>
  <c r="F366" i="6"/>
  <c r="F367" i="6"/>
  <c r="F370" i="6"/>
  <c r="F371" i="6"/>
  <c r="F372" i="6"/>
  <c r="F373" i="6"/>
  <c r="F374" i="6"/>
  <c r="G33" i="3"/>
  <c r="H33" i="3"/>
  <c r="D66" i="9"/>
  <c r="E66" i="9"/>
  <c r="F66" i="9"/>
  <c r="D68" i="9"/>
  <c r="E68" i="9"/>
  <c r="F68" i="9"/>
  <c r="D70" i="9"/>
  <c r="E70" i="9"/>
  <c r="F70" i="9"/>
  <c r="D72" i="9"/>
  <c r="E72" i="9"/>
  <c r="F72" i="9"/>
  <c r="F73" i="9"/>
  <c r="F74" i="9"/>
  <c r="F75" i="9"/>
  <c r="G73" i="9"/>
  <c r="G74" i="9"/>
  <c r="G75" i="9"/>
  <c r="H73" i="9"/>
  <c r="H74" i="9"/>
  <c r="H75" i="9"/>
  <c r="D65" i="9"/>
  <c r="I65" i="9"/>
  <c r="D67" i="9"/>
  <c r="I67" i="9"/>
  <c r="D69" i="9"/>
  <c r="I69" i="9"/>
  <c r="D71" i="9"/>
  <c r="I71" i="9"/>
  <c r="I73" i="9"/>
  <c r="I74" i="9"/>
  <c r="I75" i="9"/>
  <c r="J73" i="9"/>
  <c r="J74" i="9"/>
  <c r="J75" i="9"/>
  <c r="F76" i="9"/>
  <c r="E34" i="3"/>
  <c r="G34" i="3"/>
  <c r="H34" i="3"/>
  <c r="E74" i="8"/>
  <c r="I74" i="8"/>
  <c r="E75" i="8"/>
  <c r="I75" i="8"/>
  <c r="E76" i="8"/>
  <c r="I76" i="8"/>
  <c r="E77" i="8"/>
  <c r="I77" i="8"/>
  <c r="E78" i="8"/>
  <c r="I78" i="8"/>
  <c r="E79" i="8"/>
  <c r="I79" i="8"/>
  <c r="I80" i="8"/>
  <c r="E35" i="3"/>
  <c r="G35" i="3"/>
  <c r="H35" i="3"/>
  <c r="H38" i="3"/>
  <c r="D9" i="5"/>
  <c r="H77" i="3"/>
  <c r="E1170" i="6"/>
  <c r="F1170" i="6"/>
  <c r="F1173" i="6"/>
  <c r="D1164" i="6"/>
  <c r="E1164" i="6"/>
  <c r="F1164" i="6"/>
  <c r="D1165" i="6"/>
  <c r="E1165" i="6"/>
  <c r="F1165" i="6"/>
  <c r="D1166" i="6"/>
  <c r="E1166" i="6"/>
  <c r="F1166" i="6"/>
  <c r="D1167" i="6"/>
  <c r="E1167" i="6"/>
  <c r="F1167" i="6"/>
  <c r="F1168" i="6"/>
  <c r="F1176" i="6"/>
  <c r="F1177" i="6"/>
  <c r="F1178" i="6"/>
  <c r="G74" i="3"/>
  <c r="I176" i="8"/>
  <c r="I177" i="8"/>
  <c r="I178" i="8"/>
  <c r="E74" i="3"/>
  <c r="H74" i="3"/>
  <c r="I113" i="8"/>
  <c r="I114" i="8"/>
  <c r="I115" i="8"/>
  <c r="E58" i="3"/>
  <c r="G58" i="3"/>
  <c r="H58" i="3"/>
  <c r="I116" i="8"/>
  <c r="I117" i="8"/>
  <c r="I118" i="8"/>
  <c r="E59" i="3"/>
  <c r="E257" i="6"/>
  <c r="F257" i="6"/>
  <c r="E258" i="6"/>
  <c r="F258" i="6"/>
  <c r="F259" i="6"/>
  <c r="E261" i="6"/>
  <c r="F261" i="6"/>
  <c r="F262" i="6"/>
  <c r="F265" i="6"/>
  <c r="F266" i="6"/>
  <c r="F267" i="6"/>
  <c r="F268" i="6"/>
  <c r="G59" i="3"/>
  <c r="H59" i="3"/>
  <c r="C121" i="8"/>
  <c r="D121" i="8"/>
  <c r="I121" i="8"/>
  <c r="I122" i="8"/>
  <c r="E60" i="3"/>
  <c r="E59" i="6"/>
  <c r="F59" i="6"/>
  <c r="E60" i="6"/>
  <c r="F60" i="6"/>
  <c r="F61" i="6"/>
  <c r="F64" i="6"/>
  <c r="F67" i="6"/>
  <c r="F68" i="6"/>
  <c r="F69" i="6"/>
  <c r="F70" i="6"/>
  <c r="G60" i="3"/>
  <c r="H60" i="3"/>
  <c r="C124" i="8"/>
  <c r="I124" i="8"/>
  <c r="I125" i="8"/>
  <c r="E61" i="3"/>
  <c r="E76" i="6"/>
  <c r="F76" i="6"/>
  <c r="F77" i="6"/>
  <c r="F80" i="6"/>
  <c r="F83" i="6"/>
  <c r="F84" i="6"/>
  <c r="F85" i="6"/>
  <c r="F86" i="6"/>
  <c r="G61" i="3"/>
  <c r="H61" i="3"/>
  <c r="E62" i="3"/>
  <c r="E599" i="6"/>
  <c r="F599" i="6"/>
  <c r="E600" i="6"/>
  <c r="F600" i="6"/>
  <c r="E601" i="6"/>
  <c r="F601" i="6"/>
  <c r="E602" i="6"/>
  <c r="F602" i="6"/>
  <c r="F603" i="6"/>
  <c r="E61" i="4"/>
  <c r="E605" i="6"/>
  <c r="F605" i="6"/>
  <c r="E606" i="6"/>
  <c r="F606" i="6"/>
  <c r="F607" i="6"/>
  <c r="F610" i="6"/>
  <c r="F611" i="6"/>
  <c r="F612" i="6"/>
  <c r="F613" i="6"/>
  <c r="G62" i="3"/>
  <c r="H62" i="3"/>
  <c r="E63" i="3"/>
  <c r="E825" i="6"/>
  <c r="F825" i="6"/>
  <c r="E826" i="6"/>
  <c r="F826" i="6"/>
  <c r="E827" i="6"/>
  <c r="F827" i="6"/>
  <c r="E828" i="6"/>
  <c r="F828" i="6"/>
  <c r="F829" i="6"/>
  <c r="E62" i="4"/>
  <c r="E831" i="6"/>
  <c r="F831" i="6"/>
  <c r="E832" i="6"/>
  <c r="F832" i="6"/>
  <c r="F833" i="6"/>
  <c r="F836" i="6"/>
  <c r="F837" i="6"/>
  <c r="F838" i="6"/>
  <c r="F839" i="6"/>
  <c r="G63" i="3"/>
  <c r="H63" i="3"/>
  <c r="E64" i="3"/>
  <c r="H64" i="3"/>
  <c r="E65" i="3"/>
  <c r="E945" i="6"/>
  <c r="F945" i="6"/>
  <c r="E946" i="6"/>
  <c r="F946" i="6"/>
  <c r="E947" i="6"/>
  <c r="F947" i="6"/>
  <c r="E948" i="6"/>
  <c r="F948" i="6"/>
  <c r="F949" i="6"/>
  <c r="E951" i="6"/>
  <c r="F951" i="6"/>
  <c r="E952" i="6"/>
  <c r="F952" i="6"/>
  <c r="E953" i="6"/>
  <c r="F953" i="6"/>
  <c r="E954" i="6"/>
  <c r="F954" i="6"/>
  <c r="E955" i="6"/>
  <c r="F955" i="6"/>
  <c r="E956" i="6"/>
  <c r="F956" i="6"/>
  <c r="E957" i="6"/>
  <c r="F957" i="6"/>
  <c r="F958" i="6"/>
  <c r="F961" i="6"/>
  <c r="F963" i="6"/>
  <c r="G65" i="3"/>
  <c r="H65" i="3"/>
  <c r="I127" i="8"/>
  <c r="I128" i="8"/>
  <c r="E66" i="3"/>
  <c r="G66" i="3"/>
  <c r="H66" i="3"/>
  <c r="C136" i="8"/>
  <c r="D136" i="8"/>
  <c r="I136" i="8"/>
  <c r="D137" i="8"/>
  <c r="I137" i="8"/>
  <c r="I138" i="8"/>
  <c r="I139" i="8"/>
  <c r="I140" i="8"/>
  <c r="I141" i="8"/>
  <c r="E67" i="3"/>
  <c r="E925" i="6"/>
  <c r="F925" i="6"/>
  <c r="E926" i="6"/>
  <c r="F926" i="6"/>
  <c r="E927" i="6"/>
  <c r="F927" i="6"/>
  <c r="E928" i="6"/>
  <c r="F928" i="6"/>
  <c r="F929" i="6"/>
  <c r="E931" i="6"/>
  <c r="F931" i="6"/>
  <c r="E932" i="6"/>
  <c r="F932" i="6"/>
  <c r="F933" i="6"/>
  <c r="F936" i="6"/>
  <c r="F937" i="6"/>
  <c r="F938" i="6"/>
  <c r="F939" i="6"/>
  <c r="G67" i="3"/>
  <c r="H67" i="3"/>
  <c r="I167" i="8"/>
  <c r="I168" i="8"/>
  <c r="E69" i="3"/>
  <c r="E638" i="6"/>
  <c r="F638" i="6"/>
  <c r="E639" i="6"/>
  <c r="F639" i="6"/>
  <c r="E640" i="6"/>
  <c r="F640" i="6"/>
  <c r="E641" i="6"/>
  <c r="F641" i="6"/>
  <c r="F642" i="6"/>
  <c r="E644" i="6"/>
  <c r="F644" i="6"/>
  <c r="F645" i="6"/>
  <c r="F648" i="6"/>
  <c r="F649" i="6"/>
  <c r="F650" i="6"/>
  <c r="F651" i="6"/>
  <c r="G69" i="3"/>
  <c r="H69" i="3"/>
  <c r="C180" i="8"/>
  <c r="I180" i="8"/>
  <c r="I181" i="8"/>
  <c r="E75" i="3"/>
  <c r="E1144" i="6"/>
  <c r="F1144" i="6"/>
  <c r="E1145" i="6"/>
  <c r="F1145" i="6"/>
  <c r="E1146" i="6"/>
  <c r="F1146" i="6"/>
  <c r="E1147" i="6"/>
  <c r="F1147" i="6"/>
  <c r="F1148" i="6"/>
  <c r="E1150" i="6"/>
  <c r="F1150" i="6"/>
  <c r="F1153" i="6"/>
  <c r="F1156" i="6"/>
  <c r="F1157" i="6"/>
  <c r="F1158" i="6"/>
  <c r="G75" i="3"/>
  <c r="H75" i="3"/>
  <c r="C183" i="8"/>
  <c r="I183" i="8"/>
  <c r="I184" i="8"/>
  <c r="I185" i="8"/>
  <c r="E76" i="3"/>
  <c r="E1185" i="6"/>
  <c r="F1185" i="6"/>
  <c r="E1186" i="6"/>
  <c r="F1186" i="6"/>
  <c r="E1187" i="6"/>
  <c r="F1187" i="6"/>
  <c r="E1188" i="6"/>
  <c r="F1188" i="6"/>
  <c r="F1189" i="6"/>
  <c r="E1191" i="6"/>
  <c r="F1191" i="6"/>
  <c r="F1194" i="6"/>
  <c r="F1197" i="6"/>
  <c r="F1198" i="6"/>
  <c r="F1199" i="6"/>
  <c r="G76" i="3"/>
  <c r="H76" i="3"/>
  <c r="C143" i="8"/>
  <c r="D143" i="8"/>
  <c r="I143" i="8"/>
  <c r="I144" i="8"/>
  <c r="E78" i="3"/>
  <c r="G78" i="3"/>
  <c r="H78" i="3"/>
  <c r="I130" i="8"/>
  <c r="I131" i="8"/>
  <c r="E79" i="3"/>
  <c r="E619" i="6"/>
  <c r="F619" i="6"/>
  <c r="E620" i="6"/>
  <c r="F620" i="6"/>
  <c r="E621" i="6"/>
  <c r="F621" i="6"/>
  <c r="E622" i="6"/>
  <c r="F622" i="6"/>
  <c r="F623" i="6"/>
  <c r="E67" i="4"/>
  <c r="E68" i="4"/>
  <c r="E625" i="6"/>
  <c r="F625" i="6"/>
  <c r="F626" i="6"/>
  <c r="F629" i="6"/>
  <c r="F630" i="6"/>
  <c r="F631" i="6"/>
  <c r="F632" i="6"/>
  <c r="G79" i="3"/>
  <c r="H79" i="3"/>
  <c r="C133" i="8"/>
  <c r="I133" i="8"/>
  <c r="I134" i="8"/>
  <c r="E80" i="3"/>
  <c r="G80" i="3"/>
  <c r="H80" i="3"/>
  <c r="I146" i="8"/>
  <c r="I147" i="8"/>
  <c r="I148" i="8"/>
  <c r="E81" i="3"/>
  <c r="E759" i="6"/>
  <c r="F759" i="6"/>
  <c r="E760" i="6"/>
  <c r="F760" i="6"/>
  <c r="E761" i="6"/>
  <c r="F761" i="6"/>
  <c r="E762" i="6"/>
  <c r="F762" i="6"/>
  <c r="F763" i="6"/>
  <c r="E765" i="6"/>
  <c r="F765" i="6"/>
  <c r="E766" i="6"/>
  <c r="F766" i="6"/>
  <c r="E15" i="4"/>
  <c r="E767" i="6"/>
  <c r="F767" i="6"/>
  <c r="G44" i="4"/>
  <c r="E44" i="4"/>
  <c r="E768" i="6"/>
  <c r="F768" i="6"/>
  <c r="F769" i="6"/>
  <c r="F772" i="6"/>
  <c r="F773" i="6"/>
  <c r="F774" i="6"/>
  <c r="F775" i="6"/>
  <c r="G81" i="3"/>
  <c r="H81" i="3"/>
  <c r="I150" i="8"/>
  <c r="I151" i="8"/>
  <c r="I152" i="8"/>
  <c r="I153" i="8"/>
  <c r="E82" i="3"/>
  <c r="G82" i="3"/>
  <c r="H82" i="3"/>
  <c r="C155" i="8"/>
  <c r="I155" i="8"/>
  <c r="I156" i="8"/>
  <c r="E83" i="3"/>
  <c r="G83" i="3"/>
  <c r="H83" i="3"/>
  <c r="I158" i="8"/>
  <c r="I159" i="8"/>
  <c r="E84" i="3"/>
  <c r="G84" i="3"/>
  <c r="H84" i="3"/>
  <c r="I161" i="8"/>
  <c r="I162" i="8"/>
  <c r="E85" i="3"/>
  <c r="E579" i="6"/>
  <c r="F579" i="6"/>
  <c r="E580" i="6"/>
  <c r="F580" i="6"/>
  <c r="E581" i="6"/>
  <c r="F581" i="6"/>
  <c r="E582" i="6"/>
  <c r="F582" i="6"/>
  <c r="F583" i="6"/>
  <c r="E585" i="6"/>
  <c r="F585" i="6"/>
  <c r="E586" i="6"/>
  <c r="F586" i="6"/>
  <c r="F587" i="6"/>
  <c r="F590" i="6"/>
  <c r="F591" i="6"/>
  <c r="F592" i="6"/>
  <c r="F593" i="6"/>
  <c r="G85" i="3"/>
  <c r="H85" i="3"/>
  <c r="C170" i="8"/>
  <c r="I170" i="8"/>
  <c r="I171" i="8"/>
  <c r="E70" i="3"/>
  <c r="E25" i="4"/>
  <c r="G70" i="3"/>
  <c r="H70" i="3"/>
  <c r="C173" i="8"/>
  <c r="I173" i="8"/>
  <c r="I174" i="8"/>
  <c r="E71" i="3"/>
  <c r="E24" i="4"/>
  <c r="G71" i="3"/>
  <c r="H71" i="3"/>
  <c r="H72" i="3"/>
  <c r="H87" i="3"/>
  <c r="D11" i="5"/>
  <c r="H145" i="3"/>
  <c r="H148" i="3"/>
  <c r="D14" i="5"/>
  <c r="H150" i="3"/>
  <c r="H151" i="3"/>
  <c r="H152" i="3"/>
  <c r="H154" i="3"/>
  <c r="D15" i="5"/>
  <c r="H53" i="3"/>
  <c r="I83" i="8"/>
  <c r="I84" i="8"/>
  <c r="E40" i="3"/>
  <c r="G40" i="3"/>
  <c r="H40" i="3"/>
  <c r="I85" i="8"/>
  <c r="I86" i="8"/>
  <c r="E41" i="3"/>
  <c r="G41" i="3"/>
  <c r="H41" i="3"/>
  <c r="I87" i="8"/>
  <c r="I88" i="8"/>
  <c r="E42" i="3"/>
  <c r="G42" i="3"/>
  <c r="H42" i="3"/>
  <c r="I89" i="8"/>
  <c r="I90" i="8"/>
  <c r="E43" i="3"/>
  <c r="G43" i="3"/>
  <c r="H43" i="3"/>
  <c r="I91" i="8"/>
  <c r="I92" i="8"/>
  <c r="E44" i="3"/>
  <c r="G44" i="3"/>
  <c r="H44" i="3"/>
  <c r="I93" i="8"/>
  <c r="I94" i="8"/>
  <c r="E45" i="3"/>
  <c r="G45" i="3"/>
  <c r="H45" i="3"/>
  <c r="F129" i="9"/>
  <c r="F130" i="9"/>
  <c r="F131" i="9"/>
  <c r="G129" i="9"/>
  <c r="G130" i="9"/>
  <c r="G131" i="9"/>
  <c r="H129" i="9"/>
  <c r="H130" i="9"/>
  <c r="H131" i="9"/>
  <c r="D123" i="9"/>
  <c r="E123" i="9"/>
  <c r="I123" i="9"/>
  <c r="D124" i="9"/>
  <c r="E124" i="9"/>
  <c r="I124" i="9"/>
  <c r="I129" i="9"/>
  <c r="I130" i="9"/>
  <c r="I131" i="9"/>
  <c r="J129" i="9"/>
  <c r="J130" i="9"/>
  <c r="J131" i="9"/>
  <c r="F132" i="9"/>
  <c r="E46" i="3"/>
  <c r="G46" i="3"/>
  <c r="H46" i="3"/>
  <c r="C95" i="8"/>
  <c r="I95" i="8"/>
  <c r="I96" i="8"/>
  <c r="E47" i="3"/>
  <c r="G47" i="3"/>
  <c r="H47" i="3"/>
  <c r="F143" i="9"/>
  <c r="F144" i="9"/>
  <c r="F145" i="9"/>
  <c r="G143" i="9"/>
  <c r="G144" i="9"/>
  <c r="G145" i="9"/>
  <c r="H143" i="9"/>
  <c r="H144" i="9"/>
  <c r="H145" i="9"/>
  <c r="D137" i="9"/>
  <c r="I137" i="9"/>
  <c r="D138" i="9"/>
  <c r="E138" i="9"/>
  <c r="I138" i="9"/>
  <c r="I143" i="9"/>
  <c r="I144" i="9"/>
  <c r="I145" i="9"/>
  <c r="J143" i="9"/>
  <c r="J144" i="9"/>
  <c r="J145" i="9"/>
  <c r="F146" i="9"/>
  <c r="E48" i="3"/>
  <c r="G48" i="3"/>
  <c r="H48" i="3"/>
  <c r="I97" i="8"/>
  <c r="I98" i="8"/>
  <c r="E49" i="3"/>
  <c r="G49" i="3"/>
  <c r="H49" i="3"/>
  <c r="I99" i="8"/>
  <c r="I100" i="8"/>
  <c r="I101" i="8"/>
  <c r="L99" i="8"/>
  <c r="M102" i="8"/>
  <c r="I102" i="8"/>
  <c r="E50" i="3"/>
  <c r="G50" i="3"/>
  <c r="H50" i="3"/>
  <c r="I103" i="8"/>
  <c r="I104" i="8"/>
  <c r="I105" i="8"/>
  <c r="I106" i="8"/>
  <c r="E51" i="3"/>
  <c r="G51" i="3"/>
  <c r="H51" i="3"/>
  <c r="C107" i="8"/>
  <c r="I107" i="8"/>
  <c r="I109" i="8"/>
  <c r="M110" i="8"/>
  <c r="I110" i="8"/>
  <c r="E52" i="3"/>
  <c r="G52" i="3"/>
  <c r="H52" i="3"/>
  <c r="H54" i="3"/>
  <c r="H56" i="3"/>
  <c r="D10" i="5"/>
  <c r="E1211" i="6"/>
  <c r="F1211" i="6"/>
  <c r="E1212" i="6"/>
  <c r="F1212" i="6"/>
  <c r="E1213" i="6"/>
  <c r="F1213" i="6"/>
  <c r="E1214" i="6"/>
  <c r="F1214" i="6"/>
  <c r="F1215" i="6"/>
  <c r="E1205" i="6"/>
  <c r="F1205" i="6"/>
  <c r="E1206" i="6"/>
  <c r="F1206" i="6"/>
  <c r="E1207" i="6"/>
  <c r="F1207" i="6"/>
  <c r="E1208" i="6"/>
  <c r="F1208" i="6"/>
  <c r="F1209" i="6"/>
  <c r="F1218" i="6"/>
  <c r="F1219" i="6"/>
  <c r="F1220" i="6"/>
  <c r="G123" i="3"/>
  <c r="H123" i="3"/>
  <c r="I187" i="8"/>
  <c r="I188" i="8"/>
  <c r="E89" i="3"/>
  <c r="E109" i="6"/>
  <c r="F109" i="6"/>
  <c r="E110" i="6"/>
  <c r="F110" i="6"/>
  <c r="F111" i="6"/>
  <c r="F114" i="6"/>
  <c r="F117" i="6"/>
  <c r="F118" i="6"/>
  <c r="F119" i="6"/>
  <c r="F120" i="6"/>
  <c r="G89" i="3"/>
  <c r="H89" i="3"/>
  <c r="C190" i="8"/>
  <c r="I190" i="8"/>
  <c r="I191" i="8"/>
  <c r="E90" i="3"/>
  <c r="E540" i="6"/>
  <c r="F540" i="6"/>
  <c r="E541" i="6"/>
  <c r="F541" i="6"/>
  <c r="E542" i="6"/>
  <c r="F542" i="6"/>
  <c r="E543" i="6"/>
  <c r="F543" i="6"/>
  <c r="F544" i="6"/>
  <c r="E546" i="6"/>
  <c r="F546" i="6"/>
  <c r="E547" i="6"/>
  <c r="F547" i="6"/>
  <c r="F548" i="6"/>
  <c r="F551" i="6"/>
  <c r="F552" i="6"/>
  <c r="F553" i="6"/>
  <c r="F554" i="6"/>
  <c r="G90" i="3"/>
  <c r="H90" i="3"/>
  <c r="E91" i="3"/>
  <c r="E560" i="6"/>
  <c r="F560" i="6"/>
  <c r="E561" i="6"/>
  <c r="F561" i="6"/>
  <c r="E562" i="6"/>
  <c r="F562" i="6"/>
  <c r="E563" i="6"/>
  <c r="F563" i="6"/>
  <c r="F564" i="6"/>
  <c r="E566" i="6"/>
  <c r="F566" i="6"/>
  <c r="F567" i="6"/>
  <c r="F570" i="6"/>
  <c r="F571" i="6"/>
  <c r="F572" i="6"/>
  <c r="F573" i="6"/>
  <c r="G91" i="3"/>
  <c r="H91" i="3"/>
  <c r="C193" i="8"/>
  <c r="I193" i="8"/>
  <c r="I194" i="8"/>
  <c r="E92" i="3"/>
  <c r="E25" i="6"/>
  <c r="F25" i="6"/>
  <c r="E26" i="6"/>
  <c r="F26" i="6"/>
  <c r="F27" i="6"/>
  <c r="F29" i="6"/>
  <c r="F30" i="6"/>
  <c r="F32" i="6"/>
  <c r="F33" i="6"/>
  <c r="F34" i="6"/>
  <c r="F35" i="6"/>
  <c r="F36" i="6"/>
  <c r="G92" i="3"/>
  <c r="H92" i="3"/>
  <c r="C196" i="8"/>
  <c r="D196" i="8"/>
  <c r="I196" i="8"/>
  <c r="I197" i="8"/>
  <c r="E93" i="3"/>
  <c r="G93" i="3"/>
  <c r="H93" i="3"/>
  <c r="C199" i="8"/>
  <c r="D199" i="8"/>
  <c r="I199" i="8"/>
  <c r="I200" i="8"/>
  <c r="E94" i="3"/>
  <c r="E128" i="6"/>
  <c r="F128" i="6"/>
  <c r="E129" i="6"/>
  <c r="F129" i="6"/>
  <c r="E130" i="6"/>
  <c r="F130" i="6"/>
  <c r="E131" i="6"/>
  <c r="F131" i="6"/>
  <c r="F132" i="6"/>
  <c r="E134" i="6"/>
  <c r="F134" i="6"/>
  <c r="E135" i="6"/>
  <c r="F135" i="6"/>
  <c r="E136" i="6"/>
  <c r="F136" i="6"/>
  <c r="F137" i="6"/>
  <c r="F140" i="6"/>
  <c r="F141" i="6"/>
  <c r="F142" i="6"/>
  <c r="F143" i="6"/>
  <c r="G94" i="3"/>
  <c r="H94" i="3"/>
  <c r="C202" i="8"/>
  <c r="D202" i="8"/>
  <c r="I202" i="8"/>
  <c r="I203" i="8"/>
  <c r="E95" i="3"/>
  <c r="E333" i="6"/>
  <c r="F333" i="6"/>
  <c r="E334" i="6"/>
  <c r="F334" i="6"/>
  <c r="E335" i="6"/>
  <c r="F335" i="6"/>
  <c r="E336" i="6"/>
  <c r="F336" i="6"/>
  <c r="F337" i="6"/>
  <c r="E339" i="6"/>
  <c r="F339" i="6"/>
  <c r="E340" i="6"/>
  <c r="F340" i="6"/>
  <c r="E341" i="6"/>
  <c r="F341" i="6"/>
  <c r="F342" i="6"/>
  <c r="F345" i="6"/>
  <c r="F346" i="6"/>
  <c r="F347" i="6"/>
  <c r="F348" i="6"/>
  <c r="F349" i="6"/>
  <c r="G95" i="3"/>
  <c r="H95" i="3"/>
  <c r="D82" i="9"/>
  <c r="D81" i="9"/>
  <c r="E82" i="9"/>
  <c r="F82" i="9"/>
  <c r="F87" i="9"/>
  <c r="F88" i="9"/>
  <c r="F89" i="9"/>
  <c r="G87" i="9"/>
  <c r="G88" i="9"/>
  <c r="G89" i="9"/>
  <c r="H87" i="9"/>
  <c r="H88" i="9"/>
  <c r="H89" i="9"/>
  <c r="I81" i="9"/>
  <c r="I87" i="9"/>
  <c r="I88" i="9"/>
  <c r="I89" i="9"/>
  <c r="J87" i="9"/>
  <c r="J88" i="9"/>
  <c r="J89" i="9"/>
  <c r="F90" i="9"/>
  <c r="E96" i="3"/>
  <c r="G96" i="3"/>
  <c r="H96" i="3"/>
  <c r="C205" i="8"/>
  <c r="I205" i="8"/>
  <c r="I206" i="8"/>
  <c r="E97" i="3"/>
  <c r="E192" i="6"/>
  <c r="F192" i="6"/>
  <c r="E193" i="6"/>
  <c r="F193" i="6"/>
  <c r="E194" i="6"/>
  <c r="F194" i="6"/>
  <c r="E195" i="6"/>
  <c r="F195" i="6"/>
  <c r="F196" i="6"/>
  <c r="E198" i="6"/>
  <c r="F198" i="6"/>
  <c r="E199" i="6"/>
  <c r="F199" i="6"/>
  <c r="E200" i="6"/>
  <c r="F200" i="6"/>
  <c r="E201" i="6"/>
  <c r="F201" i="6"/>
  <c r="F202" i="6"/>
  <c r="F205" i="6"/>
  <c r="F206" i="6"/>
  <c r="F207" i="6"/>
  <c r="F208" i="6"/>
  <c r="G97" i="3"/>
  <c r="H97" i="3"/>
  <c r="D208" i="8"/>
  <c r="I208" i="8"/>
  <c r="I209" i="8"/>
  <c r="E98" i="3"/>
  <c r="G98" i="3"/>
  <c r="H98" i="3"/>
  <c r="D96" i="9"/>
  <c r="E96" i="9"/>
  <c r="F96" i="9"/>
  <c r="F101" i="9"/>
  <c r="F102" i="9"/>
  <c r="F103" i="9"/>
  <c r="G101" i="9"/>
  <c r="G102" i="9"/>
  <c r="G103" i="9"/>
  <c r="D95" i="9"/>
  <c r="H95" i="9"/>
  <c r="H101" i="9"/>
  <c r="H102" i="9"/>
  <c r="H103" i="9"/>
  <c r="I101" i="9"/>
  <c r="I102" i="9"/>
  <c r="I103" i="9"/>
  <c r="J101" i="9"/>
  <c r="J102" i="9"/>
  <c r="J103" i="9"/>
  <c r="F104" i="9"/>
  <c r="E99" i="3"/>
  <c r="G99" i="3"/>
  <c r="H99" i="3"/>
  <c r="I211" i="8"/>
  <c r="I212" i="8"/>
  <c r="E100" i="3"/>
  <c r="G100" i="3"/>
  <c r="H100" i="3"/>
  <c r="C214" i="8"/>
  <c r="D214" i="8"/>
  <c r="I214" i="8"/>
  <c r="I215" i="8"/>
  <c r="E101" i="3"/>
  <c r="G101" i="3"/>
  <c r="H101" i="3"/>
  <c r="D110" i="9"/>
  <c r="D109" i="9"/>
  <c r="E110" i="9"/>
  <c r="F110" i="9"/>
  <c r="F115" i="9"/>
  <c r="F116" i="9"/>
  <c r="F117" i="9"/>
  <c r="G115" i="9"/>
  <c r="G116" i="9"/>
  <c r="G117" i="9"/>
  <c r="H115" i="9"/>
  <c r="H116" i="9"/>
  <c r="H117" i="9"/>
  <c r="I109" i="9"/>
  <c r="I115" i="9"/>
  <c r="I116" i="9"/>
  <c r="I117" i="9"/>
  <c r="J115" i="9"/>
  <c r="J116" i="9"/>
  <c r="J117" i="9"/>
  <c r="F118" i="9"/>
  <c r="E102" i="3"/>
  <c r="G102" i="3"/>
  <c r="H102" i="3"/>
  <c r="C217" i="8"/>
  <c r="I217" i="8"/>
  <c r="I218" i="8"/>
  <c r="E103" i="3"/>
  <c r="G103" i="3"/>
  <c r="H103" i="3"/>
  <c r="C220" i="8"/>
  <c r="I220" i="8"/>
  <c r="I221" i="8"/>
  <c r="I222" i="8"/>
  <c r="I223" i="8"/>
  <c r="I224" i="8"/>
  <c r="E104" i="3"/>
  <c r="E295" i="6"/>
  <c r="F295" i="6"/>
  <c r="E296" i="6"/>
  <c r="F296" i="6"/>
  <c r="E297" i="6"/>
  <c r="F297" i="6"/>
  <c r="E298" i="6"/>
  <c r="F298" i="6"/>
  <c r="F299" i="6"/>
  <c r="E301" i="6"/>
  <c r="F301" i="6"/>
  <c r="E302" i="6"/>
  <c r="F302" i="6"/>
  <c r="E303" i="6"/>
  <c r="F303" i="6"/>
  <c r="F304" i="6"/>
  <c r="F307" i="6"/>
  <c r="F308" i="6"/>
  <c r="F309" i="6"/>
  <c r="F310" i="6"/>
  <c r="G104" i="3"/>
  <c r="H104" i="3"/>
  <c r="E105" i="3"/>
  <c r="G105" i="3"/>
  <c r="H105" i="3"/>
  <c r="E106" i="3"/>
  <c r="G106" i="3"/>
  <c r="H106" i="3"/>
  <c r="I226" i="8"/>
  <c r="I227" i="8"/>
  <c r="I228" i="8"/>
  <c r="E107" i="3"/>
  <c r="G107" i="3"/>
  <c r="H107" i="3"/>
  <c r="I230" i="8"/>
  <c r="I231" i="8"/>
  <c r="E108" i="3"/>
  <c r="G108" i="3"/>
  <c r="H108" i="3"/>
  <c r="I233" i="8"/>
  <c r="I234" i="8"/>
  <c r="E109" i="3"/>
  <c r="E781" i="6"/>
  <c r="F781" i="6"/>
  <c r="E782" i="6"/>
  <c r="F782" i="6"/>
  <c r="E783" i="6"/>
  <c r="F783" i="6"/>
  <c r="E784" i="6"/>
  <c r="F784" i="6"/>
  <c r="F785" i="6"/>
  <c r="E787" i="6"/>
  <c r="F787" i="6"/>
  <c r="E788" i="6"/>
  <c r="F788" i="6"/>
  <c r="E789" i="6"/>
  <c r="F789" i="6"/>
  <c r="E790" i="6"/>
  <c r="F790" i="6"/>
  <c r="F791" i="6"/>
  <c r="F794" i="6"/>
  <c r="F795" i="6"/>
  <c r="F796" i="6"/>
  <c r="F797" i="6"/>
  <c r="G109" i="3"/>
  <c r="H109" i="3"/>
  <c r="E110" i="3"/>
  <c r="E803" i="6"/>
  <c r="F803" i="6"/>
  <c r="E804" i="6"/>
  <c r="F804" i="6"/>
  <c r="E805" i="6"/>
  <c r="F805" i="6"/>
  <c r="E806" i="6"/>
  <c r="F806" i="6"/>
  <c r="F807" i="6"/>
  <c r="E809" i="6"/>
  <c r="F809" i="6"/>
  <c r="E810" i="6"/>
  <c r="F810" i="6"/>
  <c r="E811" i="6"/>
  <c r="F811" i="6"/>
  <c r="E812" i="6"/>
  <c r="F812" i="6"/>
  <c r="F813" i="6"/>
  <c r="F816" i="6"/>
  <c r="F817" i="6"/>
  <c r="F818" i="6"/>
  <c r="F819" i="6"/>
  <c r="G110" i="3"/>
  <c r="H110" i="3"/>
  <c r="E111" i="3"/>
  <c r="E904" i="6"/>
  <c r="F904" i="6"/>
  <c r="E905" i="6"/>
  <c r="F905" i="6"/>
  <c r="E906" i="6"/>
  <c r="F906" i="6"/>
  <c r="E907" i="6"/>
  <c r="F907" i="6"/>
  <c r="F908" i="6"/>
  <c r="E910" i="6"/>
  <c r="F910" i="6"/>
  <c r="E911" i="6"/>
  <c r="F911" i="6"/>
  <c r="E912" i="6"/>
  <c r="F912" i="6"/>
  <c r="F913" i="6"/>
  <c r="F916" i="6"/>
  <c r="F917" i="6"/>
  <c r="F918" i="6"/>
  <c r="F919" i="6"/>
  <c r="G111" i="3"/>
  <c r="H111" i="3"/>
  <c r="I236" i="8"/>
  <c r="I237" i="8"/>
  <c r="E112" i="3"/>
  <c r="E475" i="6"/>
  <c r="F475" i="6"/>
  <c r="E476" i="6"/>
  <c r="F476" i="6"/>
  <c r="E477" i="6"/>
  <c r="F477" i="6"/>
  <c r="E478" i="6"/>
  <c r="F478" i="6"/>
  <c r="F479" i="6"/>
  <c r="E481" i="6"/>
  <c r="F481" i="6"/>
  <c r="E79" i="4"/>
  <c r="E482" i="6"/>
  <c r="F482" i="6"/>
  <c r="E483" i="6"/>
  <c r="F483" i="6"/>
  <c r="E77" i="4"/>
  <c r="E484" i="6"/>
  <c r="F484" i="6"/>
  <c r="F485" i="6"/>
  <c r="F488" i="6"/>
  <c r="F489" i="6"/>
  <c r="F490" i="6"/>
  <c r="F491" i="6"/>
  <c r="G112" i="3"/>
  <c r="H112" i="3"/>
  <c r="I239" i="8"/>
  <c r="I240" i="8"/>
  <c r="E113" i="3"/>
  <c r="G113" i="3"/>
  <c r="H113" i="3"/>
  <c r="E114" i="3"/>
  <c r="E1007" i="6"/>
  <c r="F1007" i="6"/>
  <c r="E1008" i="6"/>
  <c r="F1008" i="6"/>
  <c r="E1009" i="6"/>
  <c r="F1009" i="6"/>
  <c r="E1010" i="6"/>
  <c r="F1010" i="6"/>
  <c r="F1011" i="6"/>
  <c r="E1013" i="6"/>
  <c r="F1013" i="6"/>
  <c r="E1014" i="6"/>
  <c r="F1014" i="6"/>
  <c r="F1015" i="6"/>
  <c r="F1018" i="6"/>
  <c r="F1019" i="6"/>
  <c r="F1020" i="6"/>
  <c r="F1021" i="6"/>
  <c r="F1022" i="6"/>
  <c r="G114" i="3"/>
  <c r="H114" i="3"/>
  <c r="E115" i="3"/>
  <c r="G115" i="3"/>
  <c r="H115" i="3"/>
  <c r="C242" i="8"/>
  <c r="I242" i="8"/>
  <c r="I243" i="8"/>
  <c r="E116" i="3"/>
  <c r="E697" i="6"/>
  <c r="F697" i="6"/>
  <c r="E698" i="6"/>
  <c r="F698" i="6"/>
  <c r="E699" i="6"/>
  <c r="F699" i="6"/>
  <c r="E700" i="6"/>
  <c r="F700" i="6"/>
  <c r="F701" i="6"/>
  <c r="E75" i="4"/>
  <c r="E703" i="6"/>
  <c r="F703" i="6"/>
  <c r="E704" i="6"/>
  <c r="F704" i="6"/>
  <c r="F705" i="6"/>
  <c r="F708" i="6"/>
  <c r="F709" i="6"/>
  <c r="F710" i="6"/>
  <c r="F711" i="6"/>
  <c r="G116" i="3"/>
  <c r="H116" i="3"/>
  <c r="E1242" i="6"/>
  <c r="F1242" i="6"/>
  <c r="F1243" i="6"/>
  <c r="E1245" i="6"/>
  <c r="F1245" i="6"/>
  <c r="E1246" i="6"/>
  <c r="F1246" i="6"/>
  <c r="E1247" i="6"/>
  <c r="F1247" i="6"/>
  <c r="E1248" i="6"/>
  <c r="F1248" i="6"/>
  <c r="E1249" i="6"/>
  <c r="F1249" i="6"/>
  <c r="E1250" i="6"/>
  <c r="F1250" i="6"/>
  <c r="E1251" i="6"/>
  <c r="F1251" i="6"/>
  <c r="E1252" i="6"/>
  <c r="F1252" i="6"/>
  <c r="F1253" i="6"/>
  <c r="F1256" i="6"/>
  <c r="F1257" i="6"/>
  <c r="F1258" i="6"/>
  <c r="F1259" i="6"/>
  <c r="G117" i="3"/>
  <c r="H117" i="3"/>
  <c r="G118" i="3"/>
  <c r="H118" i="3"/>
  <c r="G119" i="3"/>
  <c r="H119" i="3"/>
  <c r="G120" i="3"/>
  <c r="H120" i="3"/>
  <c r="E1105" i="6"/>
  <c r="F1105" i="6"/>
  <c r="E1106" i="6"/>
  <c r="F1106" i="6"/>
  <c r="E1107" i="6"/>
  <c r="F1107" i="6"/>
  <c r="E1108" i="6"/>
  <c r="F1108" i="6"/>
  <c r="F1109" i="6"/>
  <c r="E1111" i="6"/>
  <c r="F1111" i="6"/>
  <c r="E1112" i="6"/>
  <c r="F1112" i="6"/>
  <c r="E1113" i="6"/>
  <c r="F1113" i="6"/>
  <c r="F1114" i="6"/>
  <c r="F1117" i="6"/>
  <c r="F1118" i="6"/>
  <c r="F1119" i="6"/>
  <c r="G121" i="3"/>
  <c r="H121" i="3"/>
  <c r="E1125" i="6"/>
  <c r="F1125" i="6"/>
  <c r="E1126" i="6"/>
  <c r="F1126" i="6"/>
  <c r="E1127" i="6"/>
  <c r="F1127" i="6"/>
  <c r="E1128" i="6"/>
  <c r="F1128" i="6"/>
  <c r="F1129" i="6"/>
  <c r="E1131" i="6"/>
  <c r="F1131" i="6"/>
  <c r="F1132" i="6"/>
  <c r="F1135" i="6"/>
  <c r="F1136" i="6"/>
  <c r="F1137" i="6"/>
  <c r="G122" i="3"/>
  <c r="H122" i="3"/>
  <c r="E1048" i="6"/>
  <c r="F1048" i="6"/>
  <c r="E1049" i="6"/>
  <c r="F1049" i="6"/>
  <c r="E1050" i="6"/>
  <c r="F1050" i="6"/>
  <c r="E1051" i="6"/>
  <c r="F1051" i="6"/>
  <c r="F1052" i="6"/>
  <c r="E1054" i="6"/>
  <c r="F1054" i="6"/>
  <c r="E1055" i="6"/>
  <c r="F1055" i="6"/>
  <c r="F1056" i="6"/>
  <c r="F1059" i="6"/>
  <c r="F1060" i="6"/>
  <c r="F1061" i="6"/>
  <c r="G124" i="3"/>
  <c r="H124" i="3"/>
  <c r="E1028" i="6"/>
  <c r="F1028" i="6"/>
  <c r="E1029" i="6"/>
  <c r="F1029" i="6"/>
  <c r="E1030" i="6"/>
  <c r="F1030" i="6"/>
  <c r="E1031" i="6"/>
  <c r="F1031" i="6"/>
  <c r="F1032" i="6"/>
  <c r="E1034" i="6"/>
  <c r="F1034" i="6"/>
  <c r="E1035" i="6"/>
  <c r="F1035" i="6"/>
  <c r="F1036" i="6"/>
  <c r="F1039" i="6"/>
  <c r="F1040" i="6"/>
  <c r="F1041" i="6"/>
  <c r="F1042" i="6"/>
  <c r="G125" i="3"/>
  <c r="H125" i="3"/>
  <c r="E1067" i="6"/>
  <c r="F1067" i="6"/>
  <c r="E1068" i="6"/>
  <c r="F1068" i="6"/>
  <c r="E1069" i="6"/>
  <c r="F1069" i="6"/>
  <c r="E1070" i="6"/>
  <c r="F1070" i="6"/>
  <c r="F1071" i="6"/>
  <c r="E101" i="4"/>
  <c r="E1073" i="6"/>
  <c r="F1073" i="6"/>
  <c r="E1074" i="6"/>
  <c r="F1074" i="6"/>
  <c r="F1075" i="6"/>
  <c r="F1078" i="6"/>
  <c r="F1079" i="6"/>
  <c r="F1080" i="6"/>
  <c r="G126" i="3"/>
  <c r="H126" i="3"/>
  <c r="E1086" i="6"/>
  <c r="F1086" i="6"/>
  <c r="E1087" i="6"/>
  <c r="F1087" i="6"/>
  <c r="E1088" i="6"/>
  <c r="F1088" i="6"/>
  <c r="E1089" i="6"/>
  <c r="F1089" i="6"/>
  <c r="F1090" i="6"/>
  <c r="E1092" i="6"/>
  <c r="F1092" i="6"/>
  <c r="E1093" i="6"/>
  <c r="F1093" i="6"/>
  <c r="F1094" i="6"/>
  <c r="F1097" i="6"/>
  <c r="F1098" i="6"/>
  <c r="F1099" i="6"/>
  <c r="G127" i="3"/>
  <c r="H127" i="3"/>
  <c r="E1226" i="6"/>
  <c r="F1226" i="6"/>
  <c r="E274" i="6"/>
  <c r="F274" i="6"/>
  <c r="E275" i="6"/>
  <c r="F275" i="6"/>
  <c r="E276" i="6"/>
  <c r="F276" i="6"/>
  <c r="E277" i="6"/>
  <c r="F277" i="6"/>
  <c r="F278" i="6"/>
  <c r="E280" i="6"/>
  <c r="F280" i="6"/>
  <c r="E281" i="6"/>
  <c r="F281" i="6"/>
  <c r="E282" i="6"/>
  <c r="F282" i="6"/>
  <c r="F283" i="6"/>
  <c r="F286" i="6"/>
  <c r="F287" i="6"/>
  <c r="F288" i="6"/>
  <c r="F289" i="6"/>
  <c r="E1227" i="6"/>
  <c r="F1227" i="6"/>
  <c r="E1228" i="6"/>
  <c r="F1228" i="6"/>
  <c r="E1229" i="6"/>
  <c r="F1229" i="6"/>
  <c r="E1230" i="6"/>
  <c r="F1230" i="6"/>
  <c r="E1231" i="6"/>
  <c r="F1231" i="6"/>
  <c r="F1232" i="6"/>
  <c r="F1233" i="6"/>
  <c r="F1234" i="6"/>
  <c r="F1236" i="6"/>
  <c r="G128" i="3"/>
  <c r="H128" i="3"/>
  <c r="G129" i="3"/>
  <c r="H129" i="3"/>
  <c r="G130" i="3"/>
  <c r="H130" i="3"/>
  <c r="C245" i="8"/>
  <c r="I245" i="8"/>
  <c r="C246" i="8"/>
  <c r="I246" i="8"/>
  <c r="I247" i="8"/>
  <c r="E133" i="3"/>
  <c r="G133" i="3"/>
  <c r="H133" i="3"/>
  <c r="I249" i="8"/>
  <c r="I250" i="8"/>
  <c r="E134" i="3"/>
  <c r="E969" i="6"/>
  <c r="F969" i="6"/>
  <c r="E970" i="6"/>
  <c r="F970" i="6"/>
  <c r="E971" i="6"/>
  <c r="F971" i="6"/>
  <c r="E972" i="6"/>
  <c r="F972" i="6"/>
  <c r="F973" i="6"/>
  <c r="E975" i="6"/>
  <c r="F975" i="6"/>
  <c r="E976" i="6"/>
  <c r="F976" i="6"/>
  <c r="F977" i="6"/>
  <c r="F980" i="6"/>
  <c r="F981" i="6"/>
  <c r="F982" i="6"/>
  <c r="F983" i="6"/>
  <c r="G134" i="3"/>
  <c r="H134" i="3"/>
  <c r="G131" i="3"/>
  <c r="H131" i="3"/>
  <c r="H136" i="3"/>
  <c r="D12" i="5"/>
  <c r="G138" i="3"/>
  <c r="H138" i="3"/>
  <c r="G139" i="3"/>
  <c r="H139" i="3"/>
  <c r="E125" i="4"/>
  <c r="G140" i="3"/>
  <c r="H140" i="3"/>
  <c r="G141" i="3"/>
  <c r="H141" i="3"/>
  <c r="H142" i="3"/>
  <c r="H143" i="3"/>
  <c r="D13" i="5"/>
  <c r="H9" i="3"/>
  <c r="H10" i="3"/>
  <c r="H11" i="3"/>
  <c r="H12" i="3"/>
  <c r="H13" i="3"/>
  <c r="H14" i="3"/>
  <c r="H15" i="3"/>
  <c r="H17" i="3"/>
  <c r="D8" i="5"/>
  <c r="D17" i="5"/>
  <c r="A4" i="3"/>
  <c r="A3" i="3"/>
  <c r="A2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9" i="3"/>
  <c r="B60" i="3"/>
  <c r="B61" i="3"/>
  <c r="B62" i="3"/>
  <c r="B63" i="3"/>
  <c r="B64" i="3"/>
  <c r="B65" i="3"/>
  <c r="B66" i="3"/>
  <c r="B67" i="3"/>
  <c r="B68" i="3"/>
  <c r="B73" i="3"/>
  <c r="B77" i="3"/>
  <c r="B78" i="3"/>
  <c r="A85" i="8"/>
  <c r="A87" i="8"/>
  <c r="A89" i="8"/>
  <c r="A91" i="8"/>
  <c r="A93" i="8"/>
  <c r="A95" i="8"/>
  <c r="A97" i="8"/>
  <c r="A99" i="8"/>
  <c r="A103" i="8"/>
  <c r="A107" i="8"/>
  <c r="D52" i="3"/>
  <c r="D51" i="3"/>
  <c r="D50" i="3"/>
  <c r="L102" i="8"/>
  <c r="B11" i="4"/>
  <c r="B12" i="4"/>
  <c r="B14" i="4"/>
  <c r="B15" i="4"/>
  <c r="B17" i="4"/>
  <c r="B19" i="4"/>
  <c r="B20" i="4"/>
  <c r="B21" i="4"/>
  <c r="B27" i="4"/>
  <c r="B28" i="4"/>
  <c r="B29" i="4"/>
  <c r="B30" i="4"/>
  <c r="B31" i="4"/>
  <c r="B32" i="4"/>
  <c r="B33" i="4"/>
  <c r="B35" i="4"/>
  <c r="B36" i="4"/>
  <c r="B37" i="4"/>
  <c r="B38" i="4"/>
  <c r="B40" i="4"/>
  <c r="B42" i="4"/>
  <c r="B44" i="4"/>
  <c r="B45" i="4"/>
  <c r="B47" i="4"/>
  <c r="B48" i="4"/>
  <c r="B49" i="4"/>
  <c r="B51" i="4"/>
  <c r="B53" i="4"/>
  <c r="B55" i="4"/>
  <c r="B57" i="4"/>
  <c r="B59" i="4"/>
  <c r="B61" i="4"/>
  <c r="B62" i="4"/>
  <c r="B63" i="4"/>
  <c r="B66" i="4"/>
  <c r="B69" i="4"/>
  <c r="B70" i="4"/>
  <c r="B71" i="4"/>
  <c r="B72" i="4"/>
  <c r="B73" i="4"/>
  <c r="B75" i="4"/>
  <c r="B76" i="4"/>
  <c r="B79" i="4"/>
  <c r="B80" i="4"/>
  <c r="B81" i="4"/>
  <c r="B82" i="4"/>
  <c r="B84" i="4"/>
  <c r="B85" i="4"/>
  <c r="B86" i="4"/>
  <c r="B88" i="4"/>
  <c r="B89" i="4"/>
  <c r="B92" i="4"/>
  <c r="B93" i="4"/>
  <c r="B94" i="4"/>
  <c r="B95" i="4"/>
  <c r="B96" i="4"/>
  <c r="B97" i="4"/>
  <c r="B22" i="4"/>
  <c r="B23" i="4"/>
  <c r="B138" i="9"/>
  <c r="B139" i="9"/>
  <c r="B140" i="9"/>
  <c r="B141" i="9"/>
  <c r="D48" i="3"/>
  <c r="D49" i="3"/>
  <c r="D47" i="3"/>
  <c r="B124" i="9"/>
  <c r="B125" i="9"/>
  <c r="B126" i="9"/>
  <c r="B127" i="9"/>
  <c r="D46" i="3"/>
  <c r="D45" i="3"/>
  <c r="D44" i="3"/>
  <c r="D43" i="3"/>
  <c r="D41" i="3"/>
  <c r="D42" i="3"/>
  <c r="D23" i="3"/>
  <c r="B20" i="3"/>
  <c r="B21" i="3"/>
  <c r="B22" i="3"/>
  <c r="B23" i="3"/>
  <c r="B24" i="3"/>
  <c r="D40" i="3"/>
  <c r="B10" i="5"/>
  <c r="A10" i="5"/>
  <c r="D32" i="3"/>
  <c r="B25" i="3"/>
  <c r="B26" i="3"/>
  <c r="B27" i="3"/>
  <c r="B28" i="3"/>
  <c r="B29" i="3"/>
  <c r="B30" i="3"/>
  <c r="B31" i="3"/>
  <c r="B32" i="3"/>
  <c r="B33" i="3"/>
  <c r="P30" i="8"/>
  <c r="D35" i="3"/>
  <c r="D29" i="3"/>
  <c r="D26" i="3"/>
  <c r="D22" i="3"/>
  <c r="B34" i="3"/>
  <c r="B35" i="3"/>
  <c r="B36" i="3"/>
  <c r="E45" i="4"/>
  <c r="I59" i="4"/>
  <c r="J60" i="4"/>
  <c r="E53" i="4"/>
  <c r="E51" i="4"/>
  <c r="G84" i="4"/>
  <c r="E82" i="4"/>
  <c r="E40" i="4"/>
  <c r="E38" i="4"/>
  <c r="I60" i="4"/>
  <c r="E55" i="4"/>
  <c r="E57" i="4"/>
  <c r="E12" i="4"/>
  <c r="E43" i="4"/>
  <c r="B10" i="3"/>
  <c r="B11" i="3"/>
  <c r="B12" i="3"/>
  <c r="B13" i="3"/>
  <c r="B14" i="3"/>
  <c r="M4" i="3"/>
  <c r="M5" i="3"/>
  <c r="D63" i="3"/>
  <c r="D82" i="3"/>
  <c r="D81" i="3"/>
  <c r="D108" i="3"/>
  <c r="D59" i="3"/>
  <c r="J602" i="6"/>
  <c r="J603" i="6"/>
  <c r="B15" i="5"/>
  <c r="A15" i="5"/>
  <c r="D69" i="3"/>
  <c r="D80" i="3"/>
  <c r="D79" i="3"/>
  <c r="D65" i="3"/>
  <c r="D66" i="3"/>
  <c r="D62" i="3"/>
  <c r="D78" i="3"/>
  <c r="D76" i="3"/>
  <c r="D75" i="3"/>
  <c r="D74" i="3"/>
  <c r="E64" i="4"/>
  <c r="B23" i="9"/>
  <c r="B24" i="9"/>
  <c r="B25" i="9"/>
  <c r="B26" i="9"/>
  <c r="D134" i="3"/>
  <c r="D133" i="3"/>
  <c r="D122" i="3"/>
  <c r="D121" i="3"/>
  <c r="D123" i="3"/>
  <c r="D128" i="3"/>
  <c r="A1231" i="6"/>
  <c r="A1230" i="6"/>
  <c r="A1229" i="6"/>
  <c r="A1228" i="6"/>
  <c r="A1227" i="6"/>
  <c r="A1226" i="6"/>
  <c r="D127" i="3"/>
  <c r="D126" i="3"/>
  <c r="D125" i="3"/>
  <c r="D124" i="3"/>
  <c r="J120" i="3"/>
  <c r="G126" i="4"/>
  <c r="H126" i="4"/>
  <c r="D117" i="3"/>
  <c r="D116" i="3"/>
  <c r="D115" i="3"/>
  <c r="D114" i="3"/>
  <c r="D113" i="3"/>
  <c r="D112" i="3"/>
  <c r="D111" i="3"/>
  <c r="D110" i="3"/>
  <c r="D109" i="3"/>
  <c r="D107" i="3"/>
  <c r="D106" i="3"/>
  <c r="D105" i="3"/>
  <c r="D104" i="3"/>
  <c r="D103" i="3"/>
  <c r="B110" i="9"/>
  <c r="B111" i="9"/>
  <c r="B112" i="9"/>
  <c r="B113" i="9"/>
  <c r="D102" i="3"/>
  <c r="D101" i="3"/>
  <c r="B12" i="5"/>
  <c r="A12" i="5"/>
  <c r="D100" i="3"/>
  <c r="D99" i="3"/>
  <c r="B96" i="9"/>
  <c r="B97" i="9"/>
  <c r="B98" i="9"/>
  <c r="B99" i="9"/>
  <c r="D98" i="3"/>
  <c r="B82" i="9"/>
  <c r="B83" i="9"/>
  <c r="B84" i="9"/>
  <c r="B85" i="9"/>
  <c r="D96" i="3"/>
  <c r="D97" i="3"/>
  <c r="D95" i="3"/>
  <c r="D94" i="3"/>
  <c r="D93" i="3"/>
  <c r="B90" i="3"/>
  <c r="D92" i="3"/>
  <c r="D91" i="3"/>
  <c r="D90" i="3"/>
  <c r="D89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K25" i="4"/>
  <c r="D34" i="3"/>
  <c r="D33" i="3"/>
  <c r="E23" i="4"/>
  <c r="B122" i="3"/>
  <c r="B123" i="3"/>
  <c r="B124" i="3"/>
  <c r="B125" i="3"/>
  <c r="B126" i="3"/>
  <c r="B127" i="3"/>
  <c r="B128" i="3"/>
  <c r="B129" i="3"/>
  <c r="B130" i="3"/>
  <c r="B131" i="3"/>
  <c r="B132" i="3"/>
  <c r="I164" i="8"/>
  <c r="I165" i="8"/>
  <c r="E93" i="6"/>
  <c r="F93" i="6"/>
  <c r="F100" i="6"/>
  <c r="F97" i="6"/>
  <c r="D84" i="3"/>
  <c r="G26" i="4"/>
  <c r="G94" i="4"/>
  <c r="G91" i="4"/>
  <c r="G90" i="4"/>
  <c r="G89" i="4"/>
  <c r="G88" i="4"/>
  <c r="G20" i="4"/>
  <c r="G21" i="4"/>
  <c r="G11" i="4"/>
  <c r="G10" i="4"/>
  <c r="E1171" i="6"/>
  <c r="F1171" i="6"/>
  <c r="E1172" i="6"/>
  <c r="F1172" i="6"/>
  <c r="E1151" i="6"/>
  <c r="F1151" i="6"/>
  <c r="E1152" i="6"/>
  <c r="F1152" i="6"/>
  <c r="E1192" i="6"/>
  <c r="F1192" i="6"/>
  <c r="E1193" i="6"/>
  <c r="F1193" i="6"/>
  <c r="G15" i="4"/>
  <c r="G17" i="4"/>
  <c r="G12" i="4"/>
  <c r="G4" i="4"/>
  <c r="G5" i="4"/>
  <c r="G28" i="4"/>
  <c r="G32" i="4"/>
  <c r="G31" i="4"/>
  <c r="G6" i="4"/>
  <c r="G7" i="4"/>
  <c r="D138" i="3"/>
  <c r="E92" i="6"/>
  <c r="F92" i="6"/>
  <c r="F94" i="6"/>
  <c r="F101" i="6"/>
  <c r="F102" i="6"/>
  <c r="F103" i="6"/>
  <c r="B139" i="3"/>
  <c r="B140" i="3"/>
  <c r="B141" i="3"/>
  <c r="D67" i="3"/>
  <c r="D61" i="3"/>
  <c r="D60" i="3"/>
  <c r="D58" i="3"/>
  <c r="B5" i="9"/>
  <c r="B6" i="9"/>
  <c r="B7" i="9"/>
  <c r="B8" i="9"/>
  <c r="D28" i="3"/>
  <c r="D27" i="3"/>
  <c r="D25" i="3"/>
  <c r="D24" i="3"/>
  <c r="D21" i="3"/>
  <c r="D20" i="3"/>
  <c r="M11" i="8"/>
  <c r="D19" i="3"/>
  <c r="G73" i="4"/>
  <c r="H74" i="4"/>
  <c r="B13" i="5"/>
  <c r="A13" i="5"/>
  <c r="B11" i="5"/>
  <c r="A11" i="5"/>
  <c r="B9" i="5"/>
  <c r="A9" i="5"/>
  <c r="E664" i="6"/>
  <c r="F664" i="6"/>
  <c r="E663" i="6"/>
  <c r="F663" i="6"/>
  <c r="E660" i="6"/>
  <c r="F660" i="6"/>
  <c r="E659" i="6"/>
  <c r="F659" i="6"/>
  <c r="E658" i="6"/>
  <c r="F658" i="6"/>
  <c r="E657" i="6"/>
  <c r="F657" i="6"/>
  <c r="F668" i="6"/>
  <c r="F665" i="6"/>
  <c r="F661" i="6"/>
  <c r="F669" i="6"/>
  <c r="F670" i="6"/>
  <c r="F671" i="6"/>
  <c r="E993" i="6"/>
  <c r="F993" i="6"/>
  <c r="F995" i="6"/>
  <c r="E990" i="6"/>
  <c r="F990" i="6"/>
  <c r="E989" i="6"/>
  <c r="F989" i="6"/>
  <c r="F998" i="6"/>
  <c r="F991" i="6"/>
  <c r="F999" i="6"/>
  <c r="F1000" i="6"/>
  <c r="F1001" i="6"/>
  <c r="E871" i="6"/>
  <c r="F871" i="6"/>
  <c r="F873" i="6"/>
  <c r="E868" i="6"/>
  <c r="F868" i="6"/>
  <c r="E867" i="6"/>
  <c r="F867" i="6"/>
  <c r="E866" i="6"/>
  <c r="F866" i="6"/>
  <c r="E865" i="6"/>
  <c r="F865" i="6"/>
  <c r="E890" i="6"/>
  <c r="F890" i="6"/>
  <c r="F892" i="6"/>
  <c r="E887" i="6"/>
  <c r="F887" i="6"/>
  <c r="E886" i="6"/>
  <c r="F886" i="6"/>
  <c r="E885" i="6"/>
  <c r="F885" i="6"/>
  <c r="E884" i="6"/>
  <c r="F884" i="6"/>
  <c r="F895" i="6"/>
  <c r="E852" i="6"/>
  <c r="F852" i="6"/>
  <c r="E851" i="6"/>
  <c r="F851" i="6"/>
  <c r="E848" i="6"/>
  <c r="F848" i="6"/>
  <c r="E846" i="6"/>
  <c r="F846" i="6"/>
  <c r="E845" i="6"/>
  <c r="F845" i="6"/>
  <c r="F856" i="6"/>
  <c r="F869" i="6"/>
  <c r="F876" i="6"/>
  <c r="F888" i="6"/>
  <c r="F896" i="6"/>
  <c r="F853" i="6"/>
  <c r="F877" i="6"/>
  <c r="F878" i="6"/>
  <c r="F897" i="6"/>
  <c r="F898" i="6"/>
  <c r="B14" i="5"/>
  <c r="A14" i="5"/>
  <c r="D506" i="6"/>
  <c r="D505" i="6"/>
  <c r="D504" i="6"/>
  <c r="D503" i="6"/>
  <c r="E500" i="6"/>
  <c r="F500" i="6"/>
  <c r="E499" i="6"/>
  <c r="F499" i="6"/>
  <c r="E498" i="6"/>
  <c r="F498" i="6"/>
  <c r="E497" i="6"/>
  <c r="F497" i="6"/>
  <c r="F510" i="6"/>
  <c r="E847" i="6"/>
  <c r="F847" i="6"/>
  <c r="F849" i="6"/>
  <c r="F857" i="6"/>
  <c r="F858" i="6"/>
  <c r="F859" i="6"/>
  <c r="F501" i="6"/>
  <c r="B79" i="3"/>
  <c r="E504" i="6"/>
  <c r="F504" i="6"/>
  <c r="E506" i="6"/>
  <c r="F506" i="6"/>
  <c r="E503" i="6"/>
  <c r="F503" i="6"/>
  <c r="E505" i="6"/>
  <c r="F505" i="6"/>
  <c r="F507" i="6"/>
  <c r="F511" i="6"/>
  <c r="F512" i="6"/>
  <c r="F513" i="6"/>
  <c r="B80" i="3"/>
  <c r="B81" i="3"/>
  <c r="B82" i="3"/>
  <c r="B83" i="3"/>
  <c r="B84" i="3"/>
  <c r="B85" i="3"/>
  <c r="K73" i="4"/>
  <c r="E85" i="4"/>
  <c r="E746" i="6"/>
  <c r="F746" i="6"/>
  <c r="E745" i="6"/>
  <c r="F745" i="6"/>
  <c r="E743" i="6"/>
  <c r="F743" i="6"/>
  <c r="E738" i="6"/>
  <c r="F738" i="6"/>
  <c r="E739" i="6"/>
  <c r="F739" i="6"/>
  <c r="E740" i="6"/>
  <c r="F740" i="6"/>
  <c r="E737" i="6"/>
  <c r="F737" i="6"/>
  <c r="F750" i="6"/>
  <c r="E320" i="6"/>
  <c r="F320" i="6"/>
  <c r="F321" i="6"/>
  <c r="E317" i="6"/>
  <c r="F317" i="6"/>
  <c r="E316" i="6"/>
  <c r="F316" i="6"/>
  <c r="F324" i="6"/>
  <c r="B25" i="4"/>
  <c r="B26" i="4"/>
  <c r="F741" i="6"/>
  <c r="F318" i="6"/>
  <c r="F325" i="6"/>
  <c r="E744" i="6"/>
  <c r="F744" i="6"/>
  <c r="F747" i="6"/>
  <c r="F751" i="6"/>
  <c r="F752" i="6"/>
  <c r="F753" i="6"/>
  <c r="F326" i="6"/>
  <c r="F327" i="6"/>
  <c r="F399" i="6"/>
  <c r="B8" i="5"/>
  <c r="A8" i="5"/>
  <c r="B98" i="4"/>
  <c r="B101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00" i="4"/>
  <c r="D18" i="5"/>
  <c r="D19" i="5"/>
  <c r="D20" i="5"/>
</calcChain>
</file>

<file path=xl/sharedStrings.xml><?xml version="1.0" encoding="utf-8"?>
<sst xmlns="http://schemas.openxmlformats.org/spreadsheetml/2006/main" count="3408" uniqueCount="817">
  <si>
    <t>Satuan</t>
  </si>
  <si>
    <t>A.</t>
  </si>
  <si>
    <t>No.</t>
  </si>
  <si>
    <t>Uraian</t>
  </si>
  <si>
    <t>Indeks</t>
  </si>
  <si>
    <t>Harga Satuan    (Rp.)</t>
  </si>
  <si>
    <t>Jumlah Harga   (Rp.)</t>
  </si>
  <si>
    <t>OH</t>
  </si>
  <si>
    <t>JUMLAH HARGA UPAH</t>
  </si>
  <si>
    <t>B.</t>
  </si>
  <si>
    <t>JUMLAH HARGA BAHAN</t>
  </si>
  <si>
    <t>C.</t>
  </si>
  <si>
    <t>JUMLAH HARGA ALAT</t>
  </si>
  <si>
    <t>D.</t>
  </si>
  <si>
    <t xml:space="preserve">  Jumlah (A+B+C)</t>
  </si>
  <si>
    <t>E.</t>
  </si>
  <si>
    <t>F.</t>
  </si>
  <si>
    <t xml:space="preserve">  Harga Satuan Pekerjaan (D+E)</t>
  </si>
  <si>
    <t>buah</t>
  </si>
  <si>
    <t>kg</t>
  </si>
  <si>
    <t>Paku skrup</t>
  </si>
  <si>
    <t>lembar</t>
  </si>
  <si>
    <r>
      <t>m</t>
    </r>
    <r>
      <rPr>
        <vertAlign val="superscript"/>
        <sz val="10"/>
        <rFont val="Arial Narrow"/>
        <family val="2"/>
      </rPr>
      <t>3</t>
    </r>
  </si>
  <si>
    <t>btg</t>
  </si>
  <si>
    <t>NO.</t>
  </si>
  <si>
    <t>URAIAN PEKERJAAN</t>
  </si>
  <si>
    <t>ANALISA</t>
  </si>
  <si>
    <t>SATUAN</t>
  </si>
  <si>
    <t>HARGA SATUAN (Rp.)</t>
  </si>
  <si>
    <t>JUMLAH HARGA (Rp.)</t>
  </si>
  <si>
    <t>I.</t>
  </si>
  <si>
    <t>Kepala Tukang</t>
  </si>
  <si>
    <t>Cat dasar</t>
  </si>
  <si>
    <t>Ls</t>
  </si>
  <si>
    <r>
      <t>m</t>
    </r>
    <r>
      <rPr>
        <vertAlign val="superscript"/>
        <sz val="10"/>
        <rFont val="Arial Narrow"/>
        <family val="2"/>
      </rPr>
      <t>2</t>
    </r>
  </si>
  <si>
    <t>DAFTAR HARGA BAHAN</t>
  </si>
  <si>
    <t>NAMA BAHAN</t>
  </si>
  <si>
    <t>UPAH</t>
  </si>
  <si>
    <t>Pekerja</t>
  </si>
  <si>
    <t>Tukang</t>
  </si>
  <si>
    <t>Mandor</t>
  </si>
  <si>
    <t>II.</t>
  </si>
  <si>
    <t>BAHAN</t>
  </si>
  <si>
    <t>bh</t>
  </si>
  <si>
    <t>Paku biasa</t>
  </si>
  <si>
    <t>JUMLAH HARGA</t>
  </si>
  <si>
    <t>JUMLAH</t>
  </si>
  <si>
    <t>PPN</t>
  </si>
  <si>
    <t>GRAND TOTAL</t>
  </si>
  <si>
    <t xml:space="preserve">  Overhead &amp; Profit (15%)</t>
  </si>
  <si>
    <t>NAMA PEKERJAAN</t>
  </si>
  <si>
    <t>lbr</t>
  </si>
  <si>
    <t>Plamur</t>
  </si>
  <si>
    <t>Cat penutup</t>
  </si>
  <si>
    <t>PEMBULATAN</t>
  </si>
  <si>
    <t>PEKERJAAN PENDAHULUAN</t>
  </si>
  <si>
    <t>-</t>
  </si>
  <si>
    <t>A.2.3.1.1</t>
  </si>
  <si>
    <t>A.2.3.1.2</t>
  </si>
  <si>
    <t>A.4.1.1.17</t>
  </si>
  <si>
    <t>A.2.3.1.14</t>
  </si>
  <si>
    <t>A.2.3.1.11</t>
  </si>
  <si>
    <t>A.4.4.1.7</t>
  </si>
  <si>
    <t>m'</t>
  </si>
  <si>
    <t>A.4.7.1.10</t>
  </si>
  <si>
    <t>A.4.6.2.17</t>
  </si>
  <si>
    <r>
      <t>Penggalian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tanah biasa sedalam 1 m</t>
    </r>
  </si>
  <si>
    <r>
      <t>Penggalian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tanah biasa sedalam 2 m</t>
    </r>
  </si>
  <si>
    <t>Batu belah</t>
  </si>
  <si>
    <t>UPAH / TENAGA</t>
  </si>
  <si>
    <t>BAHAN / MATERIAL</t>
  </si>
  <si>
    <t>PERALATAN</t>
  </si>
  <si>
    <t>Jumlah (A+B+C)</t>
  </si>
  <si>
    <t>Overhead &amp; Profit (15%)</t>
  </si>
  <si>
    <t>Harga Satuan Pekerjaan (D+E)</t>
  </si>
  <si>
    <t>Pasir urug</t>
  </si>
  <si>
    <r>
      <t>Membuat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lantai kerja beton mutu f'c=7,4 Mpa slump (3-6)cm, w/c=0,87</t>
    </r>
  </si>
  <si>
    <t>Semen portland</t>
  </si>
  <si>
    <t>Tukang kayu</t>
  </si>
  <si>
    <t>Kepala tukang</t>
  </si>
  <si>
    <t>liter</t>
  </si>
  <si>
    <t>Pasir beton</t>
  </si>
  <si>
    <t>Kerikil (maks. 30mm)</t>
  </si>
  <si>
    <t>zak</t>
  </si>
  <si>
    <t>Air</t>
  </si>
  <si>
    <t>Pembesian 10  kg dengan besi polos atau besi ulir</t>
  </si>
  <si>
    <t>Besi beton (polos/ulir)</t>
  </si>
  <si>
    <t>Kawat beton</t>
  </si>
  <si>
    <t>Besi beton</t>
  </si>
  <si>
    <t>Untuk besi 1 kg</t>
  </si>
  <si>
    <t>Kayu kelas III</t>
  </si>
  <si>
    <t>Minyak bekesting</t>
  </si>
  <si>
    <t>Paku</t>
  </si>
  <si>
    <t>Minyak bekisting</t>
  </si>
  <si>
    <r>
      <t>Pengurugan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sirtu padat</t>
    </r>
  </si>
  <si>
    <t>Sirtu</t>
  </si>
  <si>
    <t>Batu merah</t>
  </si>
  <si>
    <t>Pasir pasang</t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</si>
  <si>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dinding bata merah 1/2 batu bata 1SP : 2PP</t>
    </r>
  </si>
  <si>
    <r>
      <t>Pengurugan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dengan pasir urug</t>
    </r>
  </si>
  <si>
    <t>A.4.4.1.21</t>
  </si>
  <si>
    <t>A.4.4.1.22</t>
  </si>
  <si>
    <t>Paku 5 cm - 12 cm</t>
  </si>
  <si>
    <t>Balok kayu kelas II</t>
  </si>
  <si>
    <t>Plywood tebal 9 mm</t>
  </si>
  <si>
    <t>batang</t>
  </si>
  <si>
    <t>A.4.4.1.23</t>
  </si>
  <si>
    <t>Semen warna</t>
  </si>
  <si>
    <t>dus</t>
  </si>
  <si>
    <t>Baja ringan C75</t>
  </si>
  <si>
    <t>Papan kayu kelas III</t>
  </si>
  <si>
    <t>Plafond PVC</t>
  </si>
  <si>
    <t>List gypsum</t>
  </si>
  <si>
    <t>A.4.4.3.10</t>
  </si>
  <si>
    <t>Ubin granit</t>
  </si>
  <si>
    <t>Granit 60x60 cm</t>
  </si>
  <si>
    <r>
      <t>Pengecatan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tembok baru</t>
    </r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</si>
  <si>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kaca tebal 5mm</t>
    </r>
  </si>
  <si>
    <t>Kaca tebal 5mm</t>
  </si>
  <si>
    <t>Sealant</t>
  </si>
  <si>
    <t>Kaca tempered 12mm</t>
  </si>
  <si>
    <t>ANALISA HARGA SATUAN PEKERJAAN</t>
  </si>
  <si>
    <t>(AHSP)</t>
  </si>
  <si>
    <t>Seng pelat, t=0,7mm</t>
  </si>
  <si>
    <t>Seng pelat, t=1,2mm</t>
  </si>
  <si>
    <t>Dolken kayu Ø 8-10cm - panj 4m</t>
  </si>
  <si>
    <t>HARGA SATUAN      (Rp.)</t>
  </si>
  <si>
    <t xml:space="preserve">PPL Supl. 6.1  </t>
  </si>
  <si>
    <t xml:space="preserve">  UPAH / TENAGA</t>
  </si>
  <si>
    <t xml:space="preserve">  Pekerja</t>
  </si>
  <si>
    <t xml:space="preserve">  Tukang Kayu</t>
  </si>
  <si>
    <t xml:space="preserve">  Kepala Tukang</t>
  </si>
  <si>
    <t xml:space="preserve">  Mandor</t>
  </si>
  <si>
    <t xml:space="preserve">  BAHAN / MATERIAL</t>
  </si>
  <si>
    <t xml:space="preserve">  Rangka Furing t.0,35 mm</t>
  </si>
  <si>
    <t>M'</t>
  </si>
  <si>
    <t xml:space="preserve">  Skrup gypsum</t>
  </si>
  <si>
    <t>Bh</t>
  </si>
  <si>
    <t xml:space="preserve">  PERALATAN</t>
  </si>
  <si>
    <t xml:space="preserve">  Harga Satuan Pekerjaan Untuk 1 M2</t>
  </si>
  <si>
    <t>Rangka furing 0,35mm</t>
  </si>
  <si>
    <t>Skrup gypsum</t>
  </si>
  <si>
    <r>
      <t>Memasang 10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rangka plafond besi furing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</si>
  <si>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bekisting untuk balok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</si>
  <si>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bekisting untuk kolom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</si>
  <si>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bekisting untuk sloof</t>
    </r>
  </si>
  <si>
    <t xml:space="preserve">  Pemakaian bekisting 2x</t>
  </si>
  <si>
    <t>A.4.2.1.22.01</t>
  </si>
  <si>
    <t xml:space="preserve">  Truss C. 75.t =0,75mm</t>
  </si>
  <si>
    <t xml:space="preserve">  Topspan Truss Π. t=0,5 mm</t>
  </si>
  <si>
    <t xml:space="preserve">  Dynabolt 12 x 199 mm</t>
  </si>
  <si>
    <t xml:space="preserve">  Screw Truss 10-16 x 16</t>
  </si>
  <si>
    <t>Truss C. 75.t =0,75mm</t>
  </si>
  <si>
    <t>M1</t>
  </si>
  <si>
    <t>TAKSIR 2</t>
  </si>
  <si>
    <t xml:space="preserve">  1m2 Pasang Atap Metal Bergelombang Tbl. 0,30 mm</t>
  </si>
  <si>
    <t xml:space="preserve">  Atap Spandek Tbl. 0,30 mm</t>
  </si>
  <si>
    <t xml:space="preserve">  Screw Truss 12-14 x 20</t>
  </si>
  <si>
    <t>M2</t>
  </si>
  <si>
    <t>Atap Spandek #0,30 mm</t>
  </si>
  <si>
    <t>Paku skrup 12-14 x 20</t>
  </si>
  <si>
    <t>Paku skrup 10-16 x 16</t>
  </si>
  <si>
    <t>Hitung 1</t>
  </si>
  <si>
    <t>Pemasangan 1 m2 langit-langit PVC</t>
  </si>
  <si>
    <t>Screw</t>
  </si>
  <si>
    <t>Buah</t>
  </si>
  <si>
    <t>m2</t>
  </si>
  <si>
    <t>Plafond PVC, t=6 Mm</t>
  </si>
  <si>
    <t>Plafond PVC, t=6 Mm, p=3,96 M, l=20 Cm</t>
  </si>
  <si>
    <t>Hitung 2</t>
  </si>
  <si>
    <t>Pemasangan 1 m' list langit-langit PVC</t>
  </si>
  <si>
    <t xml:space="preserve">  List PVC</t>
  </si>
  <si>
    <t xml:space="preserve">  Screw</t>
  </si>
  <si>
    <t>List Plafond PVC</t>
  </si>
  <si>
    <t>m1</t>
  </si>
  <si>
    <t>A.5.1.1 31</t>
  </si>
  <si>
    <t xml:space="preserve">  Tukang Batu</t>
  </si>
  <si>
    <t>M</t>
  </si>
  <si>
    <t xml:space="preserve">  Perlengkapan</t>
  </si>
  <si>
    <t>%</t>
  </si>
  <si>
    <t>Keramik 30x30 cm</t>
  </si>
  <si>
    <t>Keramik 40x40 cm</t>
  </si>
  <si>
    <t xml:space="preserve">  Lantai keramik 40x40 cm</t>
  </si>
  <si>
    <t xml:space="preserve">  Portland cement</t>
  </si>
  <si>
    <t xml:space="preserve">  Pasir pasang</t>
  </si>
  <si>
    <t xml:space="preserve">  Semen warna</t>
  </si>
  <si>
    <t>Kg</t>
  </si>
  <si>
    <t>M3</t>
  </si>
  <si>
    <t>A. 4.4.3.34a</t>
  </si>
  <si>
    <t>A.8.4.6.1</t>
  </si>
  <si>
    <t>Kabel</t>
  </si>
  <si>
    <t>T Dus</t>
  </si>
  <si>
    <t>L Bow</t>
  </si>
  <si>
    <t>Las Dop</t>
  </si>
  <si>
    <t>Klem</t>
  </si>
  <si>
    <t>Mongkok</t>
  </si>
  <si>
    <t>Fitting</t>
  </si>
  <si>
    <t>Upah</t>
  </si>
  <si>
    <t>Pipa listrik 5/8"</t>
  </si>
  <si>
    <t>Saklar Seri</t>
  </si>
  <si>
    <t>Stop Kontak</t>
  </si>
  <si>
    <t>Lampu Baret Meson Kotak LED 17 Watt</t>
  </si>
  <si>
    <t>A.4.1.1.7a</t>
  </si>
  <si>
    <r>
      <t>Membuat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beton Camp. 1:2:3, Setara K-175</t>
    </r>
  </si>
  <si>
    <t>Volume</t>
  </si>
  <si>
    <t>A.4.2.1.22.01d</t>
  </si>
  <si>
    <t>Unit</t>
  </si>
  <si>
    <t>m3</t>
  </si>
  <si>
    <t>Papan kayu kelas II</t>
  </si>
  <si>
    <t>Lem Kayu</t>
  </si>
  <si>
    <t>Partisi High Pressure Laminated 120 x 240 Cm</t>
  </si>
  <si>
    <t>Lbr</t>
  </si>
  <si>
    <t>BACK UP DATA</t>
  </si>
  <si>
    <t>NO</t>
  </si>
  <si>
    <t>PEKERJAAN</t>
  </si>
  <si>
    <t>PERHITUNGAN VOLUME PEKERJAAN</t>
  </si>
  <si>
    <t>Panjang</t>
  </si>
  <si>
    <t>Lebar</t>
  </si>
  <si>
    <t>Tinggi</t>
  </si>
  <si>
    <t>Berat</t>
  </si>
  <si>
    <t>Jumlah</t>
  </si>
  <si>
    <t>Sat.</t>
  </si>
  <si>
    <t>Hitung 3</t>
  </si>
  <si>
    <t>Membongkar 1m2 Plafond + Rangka</t>
  </si>
  <si>
    <t>Hitung 4</t>
  </si>
  <si>
    <t>Membongkar 1 m Listplank</t>
  </si>
  <si>
    <t>A.4.6.1.5</t>
  </si>
  <si>
    <t xml:space="preserve">  Papan kayu Kls II</t>
  </si>
  <si>
    <t xml:space="preserve">  Lem Kayu</t>
  </si>
  <si>
    <t xml:space="preserve">  Pembuatan dan pemasangan 1 m2 daun pintu panel, kayu kelas II</t>
  </si>
  <si>
    <t>A.4.6.2.5</t>
  </si>
  <si>
    <t xml:space="preserve">  Memasang 1 bh engsel pintu 4"</t>
  </si>
  <si>
    <t xml:space="preserve">  Engsel pintu 4"</t>
  </si>
  <si>
    <t>Engsel Pintu 4"</t>
  </si>
  <si>
    <t>A.4.6.2.2</t>
  </si>
  <si>
    <t xml:space="preserve">  Memasang 1 bh kunci tanam</t>
  </si>
  <si>
    <t>Kunci Tanam Biasa</t>
  </si>
  <si>
    <t>Kunci Tanam Antik (atau modern minimalis)</t>
  </si>
  <si>
    <t>Kunci Tanam Digital (Finger Print) Bergaransi</t>
  </si>
  <si>
    <t xml:space="preserve">  Kunci tanam Antik</t>
  </si>
  <si>
    <t>A.4.7.1.4</t>
  </si>
  <si>
    <t xml:space="preserve">  1 m2 Pengecatan bidang kayu baru (1 lapis plamur, 1 lapis cat dasar, 2 lapis cat penutup)</t>
  </si>
  <si>
    <t xml:space="preserve">  Tukang Cat</t>
  </si>
  <si>
    <t xml:space="preserve">  Cat meni</t>
  </si>
  <si>
    <t xml:space="preserve">  Plamur</t>
  </si>
  <si>
    <t xml:space="preserve">  Cat dasar</t>
  </si>
  <si>
    <t xml:space="preserve">  Tinner</t>
  </si>
  <si>
    <t>Ltr</t>
  </si>
  <si>
    <t xml:space="preserve">  Ampelas</t>
  </si>
  <si>
    <t xml:space="preserve">  Overhead &amp; Profit (0%)</t>
  </si>
  <si>
    <t>Cat Meni</t>
  </si>
  <si>
    <t xml:space="preserve">  Cat Kilat/ Cat minyak</t>
  </si>
  <si>
    <t>Kuas 4"</t>
  </si>
  <si>
    <t xml:space="preserve">  Kuas 4"</t>
  </si>
  <si>
    <t>Tinner</t>
  </si>
  <si>
    <t>Ampelas</t>
  </si>
  <si>
    <r>
      <t>M</t>
    </r>
    <r>
      <rPr>
        <vertAlign val="superscript"/>
        <sz val="11"/>
        <rFont val="Arial Narrow"/>
        <family val="2"/>
      </rPr>
      <t>2</t>
    </r>
  </si>
  <si>
    <t>A.5.1.1 32</t>
  </si>
  <si>
    <t xml:space="preserve">  Pemasangan 1 m’ pipa PVC tipe AW diameter 4”</t>
  </si>
  <si>
    <t xml:space="preserve">  Pipa PVC 4"</t>
  </si>
  <si>
    <t>A.4.7.1.1</t>
  </si>
  <si>
    <t>1 M² Pengikisan/Pengerokan Permukaan Cat Lama</t>
  </si>
  <si>
    <t>Soda Api</t>
  </si>
  <si>
    <t>A.5.1.1.19</t>
  </si>
  <si>
    <t>Pemasangan 1 buah kran diameter 1/2" atau 3/4"</t>
  </si>
  <si>
    <t>Kran air</t>
  </si>
  <si>
    <t>Sealtape</t>
  </si>
  <si>
    <t>Sealtipe</t>
  </si>
  <si>
    <t>Pekerjaan pembersihan akhir dan merapikan kembali</t>
  </si>
  <si>
    <t>A.4.5.1.7</t>
  </si>
  <si>
    <t>1 M² Langit - langit gypsum board ukuran (1200 x 2400) mm</t>
  </si>
  <si>
    <t xml:space="preserve">  Tukang Besi</t>
  </si>
  <si>
    <t>Gypsum board</t>
  </si>
  <si>
    <t>Gypsum board (1200 x 2400) mm #9Mm</t>
  </si>
  <si>
    <t>Triplek 120 x 240 mm, tbl. 4 mm</t>
  </si>
  <si>
    <t>A.4.7.1.11</t>
  </si>
  <si>
    <r>
      <t>Pengecatan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tembok lama</t>
    </r>
  </si>
  <si>
    <t>Cat penutup 2 x</t>
  </si>
  <si>
    <t>.</t>
  </si>
  <si>
    <t>Tukang batu</t>
  </si>
  <si>
    <t>Waterproffing</t>
  </si>
  <si>
    <r>
      <t>M</t>
    </r>
    <r>
      <rPr>
        <vertAlign val="superscript"/>
        <sz val="11"/>
        <rFont val="Arial Narrow"/>
        <family val="2"/>
      </rPr>
      <t>3</t>
    </r>
  </si>
  <si>
    <t>PEKERJAAN AKHIR, DLL</t>
  </si>
  <si>
    <t>- Saklar Triple</t>
  </si>
  <si>
    <t>- Lampu LED 12 Watt</t>
  </si>
  <si>
    <t>Bahan + Upah</t>
  </si>
  <si>
    <t>Hollow 40.40.1,8</t>
  </si>
  <si>
    <t>Hollow 30.30.1,8</t>
  </si>
  <si>
    <t>Kunci lemari</t>
  </si>
  <si>
    <t>Rolling Door</t>
  </si>
  <si>
    <t>Hollow Stainless Steel 15.15.1</t>
  </si>
  <si>
    <t>Hollow Stainless 25.25.2</t>
  </si>
  <si>
    <t>Stainless Steel Channel 25.25.3</t>
  </si>
  <si>
    <t>Hollow Stainless Steel 30.30.2</t>
  </si>
  <si>
    <t>Hollow Stainless 20.20.2</t>
  </si>
  <si>
    <t>Hollow Stainless 40.40.1,2</t>
  </si>
  <si>
    <t>Plat Stainless, t=1mm</t>
  </si>
  <si>
    <t>Set</t>
  </si>
  <si>
    <t>Saklar Triple</t>
  </si>
  <si>
    <t>(K3) Pemasangan 1 buah titik api</t>
  </si>
  <si>
    <t>Pemasangan titik api/ nyala</t>
  </si>
  <si>
    <t>Pipa listrik/ conduit 5/8"</t>
  </si>
  <si>
    <t>Plat Aluminium uk.240.120.1,2</t>
  </si>
  <si>
    <t>Material bekas bongkaran</t>
  </si>
  <si>
    <t>Multiplek 9mm</t>
  </si>
  <si>
    <t>VOL.</t>
  </si>
  <si>
    <t>SAT.</t>
  </si>
  <si>
    <t>TAHUN 2023</t>
  </si>
  <si>
    <t>REKAPITULASI</t>
  </si>
  <si>
    <t>PEKERJAAN REHAB STRUKTUR</t>
  </si>
  <si>
    <t>A.2.2.1.13.</t>
  </si>
  <si>
    <t>1 M3 Membongkar beton bertulang dan membersihkan</t>
  </si>
  <si>
    <t>Bongkar Plat lantai 2</t>
  </si>
  <si>
    <t>Pengurang bongkaran</t>
  </si>
  <si>
    <t>Total =</t>
  </si>
  <si>
    <t>bongkar Balok 20x40 lantai 2 Beton bertulang</t>
  </si>
  <si>
    <t>bongkar Balok 20x30 lantai 2 Beton bertulang</t>
  </si>
  <si>
    <t>Membongkar tangga, plat, dan Balok lantai 2 Beton bertulang</t>
  </si>
  <si>
    <t>bongkar tangga Beton bertulang</t>
  </si>
  <si>
    <t>Pek. Bekisting tangga</t>
  </si>
  <si>
    <t>Pek. pembesian tangga</t>
  </si>
  <si>
    <t>Pek. Bekisting plat lantai 2</t>
  </si>
  <si>
    <t>Pek. pembesian plat lantai 2</t>
  </si>
  <si>
    <t>I</t>
  </si>
  <si>
    <t>II</t>
  </si>
  <si>
    <t>a</t>
  </si>
  <si>
    <t>Pembongkaran</t>
  </si>
  <si>
    <t>Pek. Bekisting</t>
  </si>
  <si>
    <t>b</t>
  </si>
  <si>
    <t>A.4.1.1.4</t>
  </si>
  <si>
    <t>1 M2 Bekisting untuk Tangga</t>
  </si>
  <si>
    <t>Kayu  Kelas III</t>
  </si>
  <si>
    <t>Paku biasa 1/2" - 1"</t>
  </si>
  <si>
    <t>Balok kayu kls III</t>
  </si>
  <si>
    <t>Plywood tbl 9 mm</t>
  </si>
  <si>
    <t>Dolken kayu dia 8-10cm pjg 4 m</t>
  </si>
  <si>
    <t>A.4.4.1.24</t>
  </si>
  <si>
    <t>1 M2 Bekisting untuk Lantai</t>
  </si>
  <si>
    <t>Balok kayu kelas III</t>
  </si>
  <si>
    <t>Pek. Bekisting Balok lantai 2</t>
  </si>
  <si>
    <t>Pek. pembesian Balok lantai 2</t>
  </si>
  <si>
    <t>c</t>
  </si>
  <si>
    <t>Cor Beton</t>
  </si>
  <si>
    <t>Cor Beton Plat lantai 2</t>
  </si>
  <si>
    <t>Cor Beton Tangga</t>
  </si>
  <si>
    <t xml:space="preserve">STR </t>
  </si>
  <si>
    <t>POS</t>
  </si>
  <si>
    <t>Ø</t>
  </si>
  <si>
    <t>Length</t>
  </si>
  <si>
    <t>Nos</t>
  </si>
  <si>
    <t>TOTAL LENG METER</t>
  </si>
  <si>
    <t>mm</t>
  </si>
  <si>
    <t>(m)</t>
  </si>
  <si>
    <t>(Each)</t>
  </si>
  <si>
    <t>PLAT BETON</t>
  </si>
  <si>
    <t>TOTAL LENGH (m)</t>
  </si>
  <si>
    <t>:</t>
  </si>
  <si>
    <t>UNIT WEIGHT (m)</t>
  </si>
  <si>
    <t>WEIGHT (Kg)</t>
  </si>
  <si>
    <t>TOTAL WEIGHT</t>
  </si>
  <si>
    <t>III</t>
  </si>
  <si>
    <t>PEKERJAAN REHAB ARSITEKTUR</t>
  </si>
  <si>
    <t>Pekerjaan rabat beton t=7 Cm, pada lantai 1</t>
  </si>
  <si>
    <t>Pengecoran rabat beton lantai 1</t>
  </si>
  <si>
    <t>Lantai</t>
  </si>
  <si>
    <t>Pekerjaan pembongkaran penutup atap yang rusak</t>
  </si>
  <si>
    <t>Atap</t>
  </si>
  <si>
    <t>Luas Atap</t>
  </si>
  <si>
    <t>Pekerjaan pembongkaran listplang</t>
  </si>
  <si>
    <t>Listplang</t>
  </si>
  <si>
    <t>TAKSIR 2a</t>
  </si>
  <si>
    <t>Roll</t>
  </si>
  <si>
    <t>Pekerjaan Cat tembok</t>
  </si>
  <si>
    <t>Tembok layar</t>
  </si>
  <si>
    <t>Cat Tembok</t>
  </si>
  <si>
    <t>IV</t>
  </si>
  <si>
    <t>PEKERJAAN MEKANIKAL ELEKTRIKAL</t>
  </si>
  <si>
    <t>titik</t>
  </si>
  <si>
    <t>- Stop Kontak</t>
  </si>
  <si>
    <t>Jilid</t>
  </si>
  <si>
    <t>TOTAL PEKERJAAN I………………..</t>
  </si>
  <si>
    <t>TOTAL PEKERJAAN II………………..</t>
  </si>
  <si>
    <t>TOTAL PEKERJAAN III………………..</t>
  </si>
  <si>
    <t>TOTAL PEKERJAAN IV………………..</t>
  </si>
  <si>
    <t>V</t>
  </si>
  <si>
    <t>TOTAL PEKERJAAN V………………..</t>
  </si>
  <si>
    <t>Medan,                             2023</t>
  </si>
  <si>
    <t>Batu bata kualitas lokal</t>
  </si>
  <si>
    <t>Batu bata kualitas mesin</t>
  </si>
  <si>
    <t>Tahun 2022</t>
  </si>
  <si>
    <t>Tahun 2023</t>
  </si>
  <si>
    <t>Perkiraan kenaikan 11%</t>
  </si>
  <si>
    <t>Pagu</t>
  </si>
  <si>
    <t>Semen portland @40 KG, (dengan kualitas SNI)</t>
  </si>
  <si>
    <t>Semen Putih, (Semen warna)</t>
  </si>
  <si>
    <t>Batu pecah 2-3 Cm</t>
  </si>
  <si>
    <t>Pekerjaan Pemasangan keramik lantai 1 (unpolish)</t>
  </si>
  <si>
    <t>Pekerjaan Pemasangan keramik lantai 2 (unpolish)</t>
  </si>
  <si>
    <t>Pekerjaan Pemasangan keramik tangga (unpolish)</t>
  </si>
  <si>
    <t>Keramik lt. 1</t>
  </si>
  <si>
    <t>Keramik lt. 2</t>
  </si>
  <si>
    <t>Keramik Tangga</t>
  </si>
  <si>
    <t>Rangka Canopy Depan</t>
  </si>
  <si>
    <t>Penutup Atap Canopy Depan</t>
  </si>
  <si>
    <t>Besi Hollow Stainless, 50.50.1,2 Mm, panjang 6 M</t>
  </si>
  <si>
    <t>Btng</t>
  </si>
  <si>
    <t>Besi Hollow Stainless, 50.50.1,2 Mm, panjang 1 M</t>
  </si>
  <si>
    <t xml:space="preserve">  hollow stainless 50.50.1,2 Mm</t>
  </si>
  <si>
    <t>Kawat Las</t>
  </si>
  <si>
    <t xml:space="preserve">  Kawat las</t>
  </si>
  <si>
    <t xml:space="preserve">  Mesin las</t>
  </si>
  <si>
    <t>HARGA PEMAKAIAN ALAT</t>
  </si>
  <si>
    <t>Cor Balok 20x40 lantai 2 Beton bertulang</t>
  </si>
  <si>
    <t>Hitung 5a</t>
  </si>
  <si>
    <t>Bongkar Pintu Besi</t>
  </si>
  <si>
    <t>Membongkar 1m2 Pintu Besi</t>
  </si>
  <si>
    <t>Cor Balok 20x30 lantai 2 Beton bertulang</t>
  </si>
  <si>
    <t>Pek. Bekisting Balok 20x40 Cm, lantai 2</t>
  </si>
  <si>
    <t>Pek. Bekisting Balok 20x30 Cm, lantai 2</t>
  </si>
  <si>
    <t>Pekerjaan Tirai/ paranet</t>
  </si>
  <si>
    <t>Bahan+Upah</t>
  </si>
  <si>
    <t>Pasang Paranet</t>
  </si>
  <si>
    <t>a. Tirai/ paranet bahan polyetilen nylon 75%</t>
  </si>
  <si>
    <t>paranet bahan polyetilen nylon 75% (P=1 M, L=1 M) dgn list+ring</t>
  </si>
  <si>
    <r>
      <t>M</t>
    </r>
    <r>
      <rPr>
        <vertAlign val="superscript"/>
        <sz val="11"/>
        <rFont val="Arial Narrow"/>
        <family val="2"/>
      </rPr>
      <t>1</t>
    </r>
  </si>
  <si>
    <t>Kawat Stainless dia 4 Mm</t>
  </si>
  <si>
    <t>c. Kawat Stainless dia.4Mm,untuk rell buka/ tutup paranet</t>
  </si>
  <si>
    <t>Upah pekerja</t>
  </si>
  <si>
    <t>Oh</t>
  </si>
  <si>
    <t>Pek. Bekisting Perkuatan Kolom Lt.1</t>
  </si>
  <si>
    <t>Pek. Bekisting perkuatan kolom lt.1</t>
  </si>
  <si>
    <t>Pek. Pembesian Perkuatan Kolom Lt.1</t>
  </si>
  <si>
    <t>Kabel Sling baja, dia 4 Mm Galvanis</t>
  </si>
  <si>
    <t>b. Kabel sling baja dia 4 Mm, penggerak buka/ tutup paranet</t>
  </si>
  <si>
    <t>PEKERJAAN PENAMBAHAN KAMAR MANDI</t>
  </si>
  <si>
    <t>Pekerjaan Penambahan Kamar Mandi</t>
  </si>
  <si>
    <t>Galian Pondasi</t>
  </si>
  <si>
    <t>Pekerjaan Pembongkaran dinding akses ke Kamar mandi</t>
  </si>
  <si>
    <t>1 M3 Membongkar dinding dan membersihkan (turunan anl. 1.4)</t>
  </si>
  <si>
    <t>Pembongkaran dinding akses ke Kamar mandi</t>
  </si>
  <si>
    <t>A.2.2.1.13.a</t>
  </si>
  <si>
    <t>A.4.4.2.4</t>
  </si>
  <si>
    <t>1 M2 Plesteran 1 Pc : 4 Ps, tebal 15 Mm</t>
  </si>
  <si>
    <t>A.4.4.2.27</t>
  </si>
  <si>
    <t>1 M2 Pemasangan Acian</t>
  </si>
  <si>
    <t>Pekerjaan plesteran bekas bongkaran akses ke K.Mandi</t>
  </si>
  <si>
    <t>Pekerjaan acian bekas bongkaran akses ke K.Mandi</t>
  </si>
  <si>
    <t>Plesteran bekas bongkaran dan acian</t>
  </si>
  <si>
    <t>Pekerjaan Galian untuk Pondasi Kamar Mandi</t>
  </si>
  <si>
    <t>Pekerjaan lantai kerja dibawah pondasi Kamar Mandi</t>
  </si>
  <si>
    <t>Lantai kerja</t>
  </si>
  <si>
    <t>Pekerjaan pondasi menerus batu kali Kamar Mandi</t>
  </si>
  <si>
    <t>PEKERJAAN PONDASI</t>
  </si>
  <si>
    <t>A.3.2.1.6.</t>
  </si>
  <si>
    <t>1 M³ Pasang pondasi batu belah campuran, 1 Pc : 3 Ps.</t>
  </si>
  <si>
    <t>Batu Belah</t>
  </si>
  <si>
    <r>
      <t>M</t>
    </r>
    <r>
      <rPr>
        <vertAlign val="superscript"/>
        <sz val="10"/>
        <rFont val="Arial Narrow"/>
        <family val="2"/>
      </rPr>
      <t>3</t>
    </r>
  </si>
  <si>
    <t>Semen porland</t>
  </si>
  <si>
    <t>Pasir Pasang</t>
  </si>
  <si>
    <t>pondasi menerus batu kali Kamar Mandi</t>
  </si>
  <si>
    <t>Pekerjaan Bekisting Sloof pada Kamar Mandi</t>
  </si>
  <si>
    <t>Bekisting Sloof pada Kamar Mandi</t>
  </si>
  <si>
    <t>Pekerjaan Cor beton Sloof pada Kamar Mandi</t>
  </si>
  <si>
    <t>Pekerjaan Pembesian Sloof pada Kamar Mandi</t>
  </si>
  <si>
    <t>Cor Beton Sloof pada Kamar Mandi</t>
  </si>
  <si>
    <t>BESI SLOOF PADA KAMAR MANDI</t>
  </si>
  <si>
    <t>SLOOF</t>
  </si>
  <si>
    <t>BESI KOLOM PRAKTIS PADA KAMAR MANDI</t>
  </si>
  <si>
    <t>KOLOM PRAKTIS</t>
  </si>
  <si>
    <t>Pekerjaan Bekisting Kolom praktis pada Kamar Mandi</t>
  </si>
  <si>
    <t>Bekisting kolom praktis pada Kamar Mandi</t>
  </si>
  <si>
    <t>Pekerjaan pembesian Kolom praktis pada Kamar Mandi</t>
  </si>
  <si>
    <t>Pekerjaan cor beton Kolom praktis pada Kamar Mandi</t>
  </si>
  <si>
    <t>Cor Beton kolom praktis pada Kamar Mandi</t>
  </si>
  <si>
    <t>VI</t>
  </si>
  <si>
    <t>Pekerjaan Bekisting Ring balok pada Kamar Mandi</t>
  </si>
  <si>
    <t>Bekisting Ring balok pada Kamar Mandi</t>
  </si>
  <si>
    <t>Pekerjaan Pembesian Ring Balok pada Kamar Mandi</t>
  </si>
  <si>
    <t>BESI RING BALOK PADA KAMAR MANDI</t>
  </si>
  <si>
    <t>RING BALOK</t>
  </si>
  <si>
    <t>Pekerjaan Cor beton Ring Balok pada Kamar Mandi</t>
  </si>
  <si>
    <t>Cor Beton Ring Balok pada Kamar Mandi</t>
  </si>
  <si>
    <t>A.4.4.1.9</t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</si>
  <si>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dinding bata merah 1/2 batu bata 1PC : 4PP</t>
    </r>
  </si>
  <si>
    <t>Pek. Pas. dinding 1/2 Bt. pada Kamar Mandi 1Pc : 4Ps</t>
  </si>
  <si>
    <t>Dinding 1/2 Bt. pada Kamar Mandi</t>
  </si>
  <si>
    <t>Pengurang bukaan pada dinding…….&gt;&gt;&gt;</t>
  </si>
  <si>
    <t>Pek. Plesteran dinding pada Kamar Mandi 1Pc : 4Ps</t>
  </si>
  <si>
    <t>Pek. acian dinding pada Kamar Mandi</t>
  </si>
  <si>
    <t>Pek. Timbunan sirtu dibawah lantai Kamar Mandi</t>
  </si>
  <si>
    <t>Timbunan sirtu dibawah lantai Kamar Mandi</t>
  </si>
  <si>
    <t>Menimbun bekas galian pondasi……&gt;&gt;&gt;</t>
  </si>
  <si>
    <t>Rabat beton pada lantai Kamar Mandi</t>
  </si>
  <si>
    <t>Pas. Keramik untuk lantai Kamar Mandi</t>
  </si>
  <si>
    <t>A. 4.4.3.54</t>
  </si>
  <si>
    <t xml:space="preserve">  Lantai keramik 25x25 cm</t>
  </si>
  <si>
    <t>Keramik 25x25 Cm</t>
  </si>
  <si>
    <t>A. 4.4.3.54c</t>
  </si>
  <si>
    <t xml:space="preserve">  Lantai keramik 25x40 cm</t>
  </si>
  <si>
    <t>Keramik 25x40 Cm</t>
  </si>
  <si>
    <t>Pek. Keramik 25x25 Cm lantai Kamar Mandi</t>
  </si>
  <si>
    <t>Pek. Keramik 25x40 Cm dinding Kamar Mandi</t>
  </si>
  <si>
    <t>Pek. Cat tembok dinding Kamar Mandi</t>
  </si>
  <si>
    <t>Pek. Rangka atap baja ringan c75 Kamar Mandi</t>
  </si>
  <si>
    <t>Pas. Rangka atap Kamar Mandi</t>
  </si>
  <si>
    <t>Pek. penutup atap spandek (type longspand), t=0.3 K. Mandi</t>
  </si>
  <si>
    <t>Pas. penutup atap Kamar Mandi</t>
  </si>
  <si>
    <t>Pek. Rangka Plafond dengan furing K. Mandi</t>
  </si>
  <si>
    <t>Pek. List Plafond PVC K. Mandi</t>
  </si>
  <si>
    <t>Pas. List plafond Kamar Mandi</t>
  </si>
  <si>
    <t>Pek. Titik api/ nyala K. Mandi</t>
  </si>
  <si>
    <t>Titik</t>
  </si>
  <si>
    <t>Pek. Pemasangan lampu led 8 Watts K. Mandi</t>
  </si>
  <si>
    <t>Lampu LED 8 Watt</t>
  </si>
  <si>
    <t>Lampu LED 15 Watt</t>
  </si>
  <si>
    <t>Pek. Pemasangan sakelar triple K. Mandi</t>
  </si>
  <si>
    <t>Pek. Bak fiber K. Mandi</t>
  </si>
  <si>
    <t>Bak Mandi Fiber 80 Liter</t>
  </si>
  <si>
    <t>Harga Bahan</t>
  </si>
  <si>
    <t>Pipa PVC 0,5" Tipe AW (Putih)</t>
  </si>
  <si>
    <t>Pipa PVC 4" Tipe AW  (Putih)</t>
  </si>
  <si>
    <t>Pek. Pipa PVC 1/2" tipe AW (Putih) K. Mandi</t>
  </si>
  <si>
    <t>A.5.1.1 30.a</t>
  </si>
  <si>
    <t xml:space="preserve">  Pemasangan 1 m’ pipa PVC tipe AW diameter 0,5”</t>
  </si>
  <si>
    <t xml:space="preserve">  Pipa PVC 0,5"</t>
  </si>
  <si>
    <t>Pek. Pasang keran 1/2" bahan stainless untuk K. Mandi</t>
  </si>
  <si>
    <t>Pek. Pipa PVC 3" tipe AW (Putih) utk buangan air lantai</t>
  </si>
  <si>
    <t xml:space="preserve">  Pemasangan 1 m’ pipa PVC tipe AW diameter 3”</t>
  </si>
  <si>
    <t xml:space="preserve">  Pipa PVC 3"</t>
  </si>
  <si>
    <t>Pipa PVC 3" Tipe AW  (Putih)</t>
  </si>
  <si>
    <t>Pek. Pipa PVC 4" tipe AW (Putih) utk buangan ke septicktank</t>
  </si>
  <si>
    <t>Taksir Sptk.T.</t>
  </si>
  <si>
    <t xml:space="preserve">  Pemasangan 1 Bh Septicktank (uk. 1,5x2, dalam 2 Meter), atau kapasitas 6 M3</t>
  </si>
  <si>
    <t xml:space="preserve">  UPAH dan BAHAN</t>
  </si>
  <si>
    <t>Pek. Galian</t>
  </si>
  <si>
    <t>Pas. Bata 1:2</t>
  </si>
  <si>
    <t>Pek. Plasteran bagian dalam</t>
  </si>
  <si>
    <t>Pek. Bekisting Penutup</t>
  </si>
  <si>
    <t>Pek. Besi Penutup (besi dia 10 mm # 15 cm)</t>
  </si>
  <si>
    <t>Pek. Beton Penutup</t>
  </si>
  <si>
    <t>Kode Anl.</t>
  </si>
  <si>
    <t>Pemasangan Pipa hawa (besi 1,5")</t>
  </si>
  <si>
    <t xml:space="preserve">  Overhead &amp; Profit (sdh terhitung dlm tiap item pemasangan)</t>
  </si>
  <si>
    <t xml:space="preserve">  Jumlah (A)</t>
  </si>
  <si>
    <t>JUMLAH Upah dan Bahan</t>
  </si>
  <si>
    <t>Pek. Pembuatan Septick Tank uk.1,5x2x2 M (atau 6 M3)</t>
  </si>
  <si>
    <t>Pek. Closed jongkok K. Mandi</t>
  </si>
  <si>
    <t>A.5.1.1 5</t>
  </si>
  <si>
    <t>(K3) Pemasangan 1 buah wastafel</t>
  </si>
  <si>
    <t xml:space="preserve">  Wastafel</t>
  </si>
  <si>
    <t xml:space="preserve">  Semen Portland</t>
  </si>
  <si>
    <t xml:space="preserve">  Pasir Pasang</t>
  </si>
  <si>
    <t>Kloset Jongkok</t>
  </si>
  <si>
    <t>Pek. Floor drain bahan stainless pada lantai K. Mandi</t>
  </si>
  <si>
    <t xml:space="preserve">  (K3) Pemasangan 1 buah closet jongkok/ monoblock</t>
  </si>
  <si>
    <t xml:space="preserve">  Closet jongkok</t>
  </si>
  <si>
    <t>A.5.1.1.14</t>
  </si>
  <si>
    <t xml:space="preserve">  (K3) Pemasangan 1 buah Floor Drain</t>
  </si>
  <si>
    <t>A.5.1.1.1</t>
  </si>
  <si>
    <t>Floor drain</t>
  </si>
  <si>
    <t>Floor Drain Stainless</t>
  </si>
  <si>
    <t>Pek. Daun Pintu Aluminium</t>
  </si>
  <si>
    <t>Pintu Aluminium uk.70x200 Cm</t>
  </si>
  <si>
    <t>Pek. Engsel Pintu</t>
  </si>
  <si>
    <t>Psng</t>
  </si>
  <si>
    <t>Grendel</t>
  </si>
  <si>
    <t>Pek. Grendel Pintu</t>
  </si>
  <si>
    <t>Pek. Ventilasi Kamar mandi</t>
  </si>
  <si>
    <t>Profil aluminium</t>
  </si>
  <si>
    <t>Sekrup fixer</t>
  </si>
  <si>
    <t>A.4.2.1.11.</t>
  </si>
  <si>
    <t xml:space="preserve"> Pemasangan 1 m kusen pintu aluminium</t>
  </si>
  <si>
    <t xml:space="preserve">  Profil aluminium</t>
  </si>
  <si>
    <t xml:space="preserve">  Skrup Fixer</t>
  </si>
  <si>
    <t xml:space="preserve">  Sealant</t>
  </si>
  <si>
    <t>- Pekerjaan Kusen Aluminium</t>
  </si>
  <si>
    <t>Profile Aluminium Ventilasi Kamar Mandi</t>
  </si>
  <si>
    <t>- Pekerjaan Kaca Ventilasi t=5 Mm, Kaca Buram</t>
  </si>
  <si>
    <t>Kaca Ventilasi Kamar Mandi</t>
  </si>
  <si>
    <t>RENOVASI GUDANG PENYIMPANAN BENIH</t>
  </si>
  <si>
    <t>Pek. Bekisting Balok 15x40 Cm, lantai 2</t>
  </si>
  <si>
    <t>BESI PLAT LANTAI BETON GUDANG PENYIMPANAN</t>
  </si>
  <si>
    <t>BESI TANGGA GUDANG PENYIMPANAN</t>
  </si>
  <si>
    <t>BESI BALOK, LANTAI 2 GUDANG PENYIMPANAN</t>
  </si>
  <si>
    <t>B.20x40</t>
  </si>
  <si>
    <t>B.20x30</t>
  </si>
  <si>
    <t>B.15x40</t>
  </si>
  <si>
    <t>Cor Balok 15x40 lantai 2 Beton bertulang</t>
  </si>
  <si>
    <t>K3</t>
  </si>
  <si>
    <t>K4</t>
  </si>
  <si>
    <t>K1</t>
  </si>
  <si>
    <t>K2</t>
  </si>
  <si>
    <t>PEMBESIAN BALOK</t>
  </si>
  <si>
    <t>BESI PERKUATAN KOLOM GUDANG PENYIMPANAN</t>
  </si>
  <si>
    <t>VOLUME BESI KOLOM</t>
  </si>
  <si>
    <t>Kolom K3</t>
  </si>
  <si>
    <t>Kolom K4</t>
  </si>
  <si>
    <t>Kolom K1</t>
  </si>
  <si>
    <t>Kolom K2</t>
  </si>
  <si>
    <t>Cor Perkuatan kolom lantai 1 Beton bertulang</t>
  </si>
  <si>
    <t>K3-----&gt;&gt;&gt;</t>
  </si>
  <si>
    <t>K4-----&gt;&gt;&gt;</t>
  </si>
  <si>
    <t>K1-----&gt;&gt;&gt;</t>
  </si>
  <si>
    <t>K2-----&gt;&gt;&gt;</t>
  </si>
  <si>
    <t>Pengurang Ventilasi---&gt;&gt;&gt;</t>
  </si>
  <si>
    <t>Pengurang Pintu Besi---&gt;&gt;&gt;</t>
  </si>
  <si>
    <t>Pengurang Dinding Kamar Mandi---&gt;&gt;&gt;</t>
  </si>
  <si>
    <t>Pengurang rabat---&gt;&gt;&gt;</t>
  </si>
  <si>
    <t>paranet bahan polyetilen nylon 75% (1 Roll, P=100 M, L=3 M)</t>
  </si>
  <si>
    <t>paranet bahan polyetilen nylon 75% (P=1 M, L=3 M)</t>
  </si>
  <si>
    <t>Insect Net, Mesh 50</t>
  </si>
  <si>
    <t>Insect Net, Mesh 50 (1 Roll, P=100 M, L=3 M)</t>
  </si>
  <si>
    <t>Insect Net, Mesh 50 (P=1 M, L=3 M)</t>
  </si>
  <si>
    <t>Insect Net, Mesh 50 (P=1 M, L=1 M) dgn list+ring</t>
  </si>
  <si>
    <t>Taksir.Ps1</t>
  </si>
  <si>
    <t>Dengan pendekatan A.5.1.1 21</t>
  </si>
  <si>
    <t>Pemasangan 1 m’ pipa pipa stainless steel diameter 1”</t>
  </si>
  <si>
    <t>Perlengkapan</t>
  </si>
  <si>
    <t>Pipa stainless steel 1”</t>
  </si>
  <si>
    <t>Kawat las</t>
  </si>
  <si>
    <t>Taksir.Ps05</t>
  </si>
  <si>
    <t>Pemasangan 1 m’ pipa pipa stainless steel diameter 1/2”</t>
  </si>
  <si>
    <t>Pipa stainless steel 1/2”</t>
  </si>
  <si>
    <t>Taksir.Ps25</t>
  </si>
  <si>
    <t>Pemasangan 1 m’ pipa pipa stainless steel diameter 2,5”</t>
  </si>
  <si>
    <t>Pipa stainless steel 2,5”</t>
  </si>
  <si>
    <t>Dengan pendekatan A.5.1.1 22</t>
  </si>
  <si>
    <t>Pekerjaan Reiling tangga dengan pipa stainless</t>
  </si>
  <si>
    <t>- Pek. Pipa Stainless 1/2", tebal 1 Mm</t>
  </si>
  <si>
    <t>d</t>
  </si>
  <si>
    <t>Pekerjaan Reiling Tangga Stainless Steel</t>
  </si>
  <si>
    <t>Reiling Stainless Steel 1/2"</t>
  </si>
  <si>
    <t>- Pek. Pipa Stainless 1", tebal 1 Mm</t>
  </si>
  <si>
    <t>Reiling Stainless Steel 1"</t>
  </si>
  <si>
    <t>Reiling Stainless Steel 2,5"</t>
  </si>
  <si>
    <t>- Pek. Pipa Stainless 2,5", tebal 1 Mm</t>
  </si>
  <si>
    <t>Pekerjaan pengecatan ventilasi dengan cat minyak</t>
  </si>
  <si>
    <t>Pengecatan Ventilasi dgn Cat Minyak</t>
  </si>
  <si>
    <t>Taksir.2.isn</t>
  </si>
  <si>
    <t>Insect net pada ventilasi</t>
  </si>
  <si>
    <t>Besi plat strip tebal 3 Mm, panjang 6 M, lebar 3 Cm</t>
  </si>
  <si>
    <t>Besi plat strip tebal 3 Mm, lebar 3 Cm</t>
  </si>
  <si>
    <t>Hitung 2.bp</t>
  </si>
  <si>
    <t>Pemasangan 1 m' list besi plat strip uk.L=3 Cm, tbl=3 Mm</t>
  </si>
  <si>
    <t>besi plat strip uk.L=3 Cm, tbl=3 Mm</t>
  </si>
  <si>
    <t>List/ bingkai Besi Plat strip Insect net pd ventilasi</t>
  </si>
  <si>
    <t>Pengurang keramik---&gt;&gt;&gt;</t>
  </si>
  <si>
    <t xml:space="preserve">  1m2 Pasang screen atap paranet bahan polyetilen nylon 75%</t>
  </si>
  <si>
    <t>paranet bhn.polyetilen nylon 75%</t>
  </si>
  <si>
    <t>Taksir.2.pnt</t>
  </si>
  <si>
    <t>TOTAL PEKERJAAN VI………………..</t>
  </si>
  <si>
    <t>TOTAL PEKERJAAN VII………………..</t>
  </si>
  <si>
    <t>VII</t>
  </si>
  <si>
    <t>FOTO DOKUMENTASI DAN PELAPORAN</t>
  </si>
  <si>
    <t>Foto Dokumentasi</t>
  </si>
  <si>
    <t>Pelaporan/ progress</t>
  </si>
  <si>
    <t>Atap Gelombang Polycarbonate transparant, 2000x950, t=0.8 Mm</t>
  </si>
  <si>
    <t>Taksir.2.pc</t>
  </si>
  <si>
    <t xml:space="preserve">  1m2 Pasang Atap Polycarbonat gelombang Tbl. 0,8 mm</t>
  </si>
  <si>
    <t xml:space="preserve">  Atap Polycarbonat Tbl. 0,8 mm</t>
  </si>
  <si>
    <t>Pek.atap transparan Polycarbonate Gelombang t=0.8 Mm</t>
  </si>
  <si>
    <t>A.4.2.1.22.01.hs</t>
  </si>
  <si>
    <t>BESI TANGGA</t>
  </si>
  <si>
    <t>Pasangan sirtu dipadatkan, dibawah lantai rabat beton</t>
  </si>
  <si>
    <t>Timbunan sirtu dibawah lantai</t>
  </si>
  <si>
    <t>Pengurang timbunan---&gt;&gt;&gt;</t>
  </si>
  <si>
    <t>Kabel Sling baja, dia 4 Mm</t>
  </si>
  <si>
    <t>Pek. Cor beton pada lantai Kamar Mandi</t>
  </si>
  <si>
    <t>Kawat Stainless dia.4Mm,untuk rell buka/ tutup paranet</t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</si>
  <si>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rangka atap baja ringan profil C75 (tipe atap pelana)</t>
    </r>
  </si>
  <si>
    <t>A.4.6.1.21.ps</t>
  </si>
  <si>
    <t>Pek.Pengecatan list plank dgn cat minyak (2 sisi)</t>
  </si>
  <si>
    <t>Pekerjaan list plank papan semen, uk. L=20 Cm</t>
  </si>
  <si>
    <t>------------&gt;</t>
  </si>
  <si>
    <t>Pek.Nok ramping, bahan bitumen, t=0.3 Cm, uk. 106x19,4 Cm</t>
  </si>
  <si>
    <t>A.4.5.2.36.nob</t>
  </si>
  <si>
    <t>1 M' Pasang Nok ramping, bahan bitumen, t=0.3 Cm, uk. 106x19,4 Cm</t>
  </si>
  <si>
    <t>Nok ramping,bhn bitumen, t=0.3</t>
  </si>
  <si>
    <t>Nok ramping, bahan bitumen, t=0.3 Cm, uk. 106x19,4 Cm</t>
  </si>
  <si>
    <t>Papan Nama Proyek</t>
  </si>
  <si>
    <t>Peralatan P3K</t>
  </si>
  <si>
    <t xml:space="preserve">Topi pelindung (Safety Helmet) </t>
  </si>
  <si>
    <t>Sarung tangan (Safety Gloves)</t>
  </si>
  <si>
    <t xml:space="preserve">Sepatu keselamatan (Safety Shoes, rubber safety shoes and toe cap) </t>
  </si>
  <si>
    <t>Rompi Keselamatan ( Safety Vest )</t>
  </si>
  <si>
    <t>Rambu pekerjaan sementara</t>
  </si>
  <si>
    <t>Connector dgn chemical ke kolom eksisting K4 (hilti atau ramset)</t>
  </si>
  <si>
    <t>Split/ batu pecah (maks. 30mm)</t>
  </si>
  <si>
    <t>A.4.4.1.25</t>
  </si>
  <si>
    <t>besi strip</t>
  </si>
  <si>
    <t>keramik</t>
  </si>
  <si>
    <t>nok bitu</t>
  </si>
  <si>
    <t>Sat.Mm</t>
  </si>
  <si>
    <t>engsel dan kunci tanam (kemahalan)</t>
  </si>
  <si>
    <t>Cat penutup (Cat Tembok) (setara Vinilex)</t>
  </si>
  <si>
    <t>Cat penutup (Cat Minyak/ Cat Kilat) setara bee brand 1000</t>
  </si>
  <si>
    <t>Kaca 5 Mm</t>
  </si>
  <si>
    <t>Keran air</t>
  </si>
  <si>
    <t>Vinilex</t>
  </si>
  <si>
    <t>155000?</t>
  </si>
  <si>
    <t>35000?</t>
  </si>
  <si>
    <t>closed</t>
  </si>
  <si>
    <t>floor</t>
  </si>
  <si>
    <t>wastafel</t>
  </si>
  <si>
    <t>Genteng Metal/ Spandek t=0.30 Mm, L=0.8 M, P=6 M</t>
  </si>
  <si>
    <t>Kran Air Bahan Stainless (setara Onda)</t>
  </si>
  <si>
    <t>Washtafel (Lengkap) Standart  (setara American Standart)</t>
  </si>
  <si>
    <t>Pek. Plafond PVC K. Mandi, t= 6 Mm</t>
  </si>
  <si>
    <t>Uji Sampel Kubus Beton</t>
  </si>
  <si>
    <t>Sampel</t>
  </si>
  <si>
    <t>A.4.1.1.7</t>
  </si>
  <si>
    <r>
      <t>Membuat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beton FC.19,3 Mpa, Setara K-225</t>
    </r>
  </si>
  <si>
    <t>Tukang Batu</t>
  </si>
  <si>
    <t>Pek. cor tangga FC.19,3 Mpa, Setara K-225</t>
  </si>
  <si>
    <t>Pek. cor plat lantai 2 FC.19,3 Mpa, Setara K-225</t>
  </si>
  <si>
    <t>Pek. cor Balok lantai 2 FC.19,3 Mpa, Setara K-225</t>
  </si>
  <si>
    <t>Pek. Pengecoran Perkuatan Kolom Lt.1 FC.19,3 Mpa, Setara K-225</t>
  </si>
  <si>
    <t>Pek. Bekisting Balok 30x50 Cm, lantai 2</t>
  </si>
  <si>
    <t>Pek. Bekisting Balok 15x50 Cm, lantai 2</t>
  </si>
  <si>
    <t>B.30x50</t>
  </si>
  <si>
    <t>B.15x50</t>
  </si>
  <si>
    <t>Cor Balok 30x50 lantai 2 Beton bertulang</t>
  </si>
  <si>
    <t>Cor Balok 15x50 lantai 2 Beton bertulang</t>
  </si>
  <si>
    <t>(Pondasi, Tangga, Kolom, Balok, Plat Lantai)</t>
  </si>
  <si>
    <t>Pekerjaan galian tanah pondasi lift</t>
  </si>
  <si>
    <t>PEKERJAAN PEMBUATAN LIFT BARANG</t>
  </si>
  <si>
    <t>Galian</t>
  </si>
  <si>
    <t>Pek. Galian tanah untuk Perkuatan Kolom Lt.1</t>
  </si>
  <si>
    <t>Pek. Rabat beton dibawah pondasi tangga</t>
  </si>
  <si>
    <t>Rabat beton dibawah pondasi lift barang</t>
  </si>
  <si>
    <t>Pek. Rabat beton dibawah pondasi lift barang</t>
  </si>
  <si>
    <t>Pekerjaan timbunan sirtu dipadatkan dibawah lift barang</t>
  </si>
  <si>
    <t>Timbunan sirtu dibawah lift barang</t>
  </si>
  <si>
    <t>Pek. Rabat beton dibawah lantai lift barang</t>
  </si>
  <si>
    <t>Rabat beton dibawah lantai lift barang</t>
  </si>
  <si>
    <t>Pek. cor beton FC.19,3 Mpa, Setara K-225,dibawah lantai lift</t>
  </si>
  <si>
    <t>Cor beton dibawah cabin lift barang</t>
  </si>
  <si>
    <t>Pek.Cor Tapak Pondasi Lift Barang,FC.19,3 Mpa, Setara K-225</t>
  </si>
  <si>
    <t>Cor Tapak Pondasi Lift Barang,FC.19,3 Mpa</t>
  </si>
  <si>
    <t>Pek.Pembesian Tapak Pondasi Lift Barang</t>
  </si>
  <si>
    <t>BESI PONDASI TAPAK LIFT BARANG</t>
  </si>
  <si>
    <t>TAPAK</t>
  </si>
  <si>
    <t>Pek.Bekisting Stik Kolom untuk tiang lift barang</t>
  </si>
  <si>
    <t>Bekisting Stik Kolom untuk tiang lift barang</t>
  </si>
  <si>
    <t>Pek.cor Stik Kolom utk tiang lift barang,FC.19,3 Mpa, Setara K-225</t>
  </si>
  <si>
    <t>Bekisting Cor beton Stik Kolom untuk tiang lift barang</t>
  </si>
  <si>
    <t>Pek. Pembesian Stik Kolom utk tiang lift barang</t>
  </si>
  <si>
    <t>A.4.2.1.2. +</t>
  </si>
  <si>
    <t>A.4.2.1.3.</t>
  </si>
  <si>
    <t>1 Kg Pemasangan dan perakitan rangka kuda-kuda baja profil WF, UNP, CNP,..</t>
  </si>
  <si>
    <t>Tukang las konstruksi</t>
  </si>
  <si>
    <t>Besi baja profil</t>
  </si>
  <si>
    <t>Solar</t>
  </si>
  <si>
    <t>Pelumas</t>
  </si>
  <si>
    <t>Besi Profil</t>
  </si>
  <si>
    <t>Plat baja t=20 Mm</t>
  </si>
  <si>
    <t>Luas</t>
  </si>
  <si>
    <t>Pekerjaan Plat baja t=20 Mm</t>
  </si>
  <si>
    <t>Pek.tiang lift barang, IWF.175.90.5.8 (Hoist)</t>
  </si>
  <si>
    <t>tiang lift barang, IWF.175.90.5.8 (Hoist)</t>
  </si>
  <si>
    <t>Pek. Besi sokong tiang lift UNP.80.45.5</t>
  </si>
  <si>
    <t>Besi sokong tiang lift UNP.80.45.5</t>
  </si>
  <si>
    <t>Pengadaan Cabin Lift Barang + Mesin lift Komplit perlengkapan</t>
  </si>
  <si>
    <t>Pekerjaan perbaikan+kunci, dan pengecatan pintu besi eksisting</t>
  </si>
  <si>
    <t>VIII</t>
  </si>
  <si>
    <t>TOTAL PEKERJAAN VIII………………..</t>
  </si>
  <si>
    <t>LS</t>
  </si>
  <si>
    <t>d. Ganti Katrol+ Perbaikan besi Channel dudukan+baut+pengelasan</t>
  </si>
  <si>
    <t>kapasitas angkut 1,8 Ton (1,8 ton Barang belum termasuk berat cabin)</t>
  </si>
  <si>
    <t>Diperiksa Oleh,</t>
  </si>
  <si>
    <t>Dibuat Oleh</t>
  </si>
  <si>
    <t>Kepala Seksi Pelayanan Teknis</t>
  </si>
  <si>
    <t>Konsultan Perencana</t>
  </si>
  <si>
    <t>Selaku Pejabat Pelaksana Teknis Kegiatan</t>
  </si>
  <si>
    <t>CV. BIRAMOS CONSULTANT</t>
  </si>
  <si>
    <t>Tuti Sudarniati Genaly, S.P.</t>
  </si>
  <si>
    <t>Ir. L. Aratua Sitanggang</t>
  </si>
  <si>
    <t>NIP. 19730112 200901 2002</t>
  </si>
  <si>
    <t>Tenaga Ahli</t>
  </si>
  <si>
    <t>Disetujui Oleh:</t>
  </si>
  <si>
    <t>Kepala Dinas Ketahanan Pangan,</t>
  </si>
  <si>
    <t>Tanaman Pangan dan Hortikultura</t>
  </si>
  <si>
    <t>Selaku Pengguna Anggaran</t>
  </si>
  <si>
    <t>Rajali S.Sos,. M.SP.</t>
  </si>
  <si>
    <t>NIP. 19670208 198611 1001</t>
  </si>
  <si>
    <t>Belanja Jasa Konsultasi Perencanaan Rekayasa - Jasa Nasihat dan Konsultasi</t>
  </si>
  <si>
    <t>UPT Benih Induk Hortikultura Kutagadung (Dana DAK)</t>
  </si>
  <si>
    <t>Jasa Rekayasa Konstruksi Renovasi Gudang Penyimpanan Benih</t>
  </si>
  <si>
    <t>RENCANA ANGGARAN BIAYA (RAB)</t>
  </si>
  <si>
    <r>
      <t xml:space="preserve">Pek. </t>
    </r>
    <r>
      <rPr>
        <i/>
        <sz val="11"/>
        <rFont val="Arial Narrow"/>
        <family val="2"/>
      </rPr>
      <t>Scrape</t>
    </r>
    <r>
      <rPr>
        <sz val="11"/>
        <rFont val="Arial Narrow"/>
        <family val="2"/>
      </rPr>
      <t>/ mengikis kolom</t>
    </r>
  </si>
  <si>
    <r>
      <t xml:space="preserve">Sambungan Baut </t>
    </r>
    <r>
      <rPr>
        <sz val="11"/>
        <rFont val="Arial"/>
        <family val="2"/>
      </rPr>
      <t>Ø</t>
    </r>
    <r>
      <rPr>
        <sz val="11"/>
        <rFont val="Arial Narrow"/>
        <family val="2"/>
      </rPr>
      <t>12 dan Sambungan Pengelasan</t>
    </r>
  </si>
  <si>
    <r>
      <t xml:space="preserve">Pekerjaan pemasangan </t>
    </r>
    <r>
      <rPr>
        <i/>
        <sz val="11"/>
        <rFont val="Arial Narrow"/>
        <family val="2"/>
      </rPr>
      <t>screen insect net</t>
    </r>
    <r>
      <rPr>
        <sz val="11"/>
        <rFont val="Arial Narrow"/>
        <family val="2"/>
      </rPr>
      <t xml:space="preserve"> pada ventilasi</t>
    </r>
  </si>
  <si>
    <r>
      <t>Pek.rangka canopy bagian depan</t>
    </r>
    <r>
      <rPr>
        <sz val="10"/>
        <rFont val="Arial Narrow"/>
        <family val="2"/>
      </rPr>
      <t>,hollow stainless, 50.50.1,2 Mm</t>
    </r>
  </si>
  <si>
    <r>
      <t xml:space="preserve">Pek.canopy bagian depan </t>
    </r>
    <r>
      <rPr>
        <sz val="10"/>
        <rFont val="Arial Narrow"/>
        <family val="2"/>
      </rPr>
      <t>Polycarbonate Gelombang t=0.8 Mm</t>
    </r>
  </si>
  <si>
    <r>
      <rPr>
        <i/>
        <sz val="11"/>
        <rFont val="Arial Narrow"/>
        <family val="2"/>
      </rPr>
      <t xml:space="preserve">Shop Drawing </t>
    </r>
    <r>
      <rPr>
        <sz val="11"/>
        <rFont val="Arial Narrow"/>
        <family val="2"/>
      </rPr>
      <t>(Gambar Kerja) dan</t>
    </r>
    <r>
      <rPr>
        <b/>
        <i/>
        <sz val="11"/>
        <rFont val="Arial Narrow"/>
        <family val="2"/>
      </rPr>
      <t xml:space="preserve"> Asbuilt Drawing</t>
    </r>
  </si>
  <si>
    <r>
      <t xml:space="preserve">TERBILANG : </t>
    </r>
    <r>
      <rPr>
        <b/>
        <i/>
        <sz val="12"/>
        <rFont val="Candara"/>
        <family val="2"/>
      </rPr>
      <t>Sembilan Ratus Enam Puluh Delapan Juta Rupiah</t>
    </r>
  </si>
  <si>
    <r>
      <t>m</t>
    </r>
    <r>
      <rPr>
        <vertAlign val="superscript"/>
        <sz val="11"/>
        <rFont val="Arial Narrow"/>
        <family val="2"/>
      </rPr>
      <t>3</t>
    </r>
  </si>
  <si>
    <r>
      <t xml:space="preserve">Pipa Stainless Steel </t>
    </r>
    <r>
      <rPr>
        <sz val="11"/>
        <rFont val="Calibri"/>
        <family val="2"/>
      </rPr>
      <t>Ø</t>
    </r>
    <r>
      <rPr>
        <sz val="11"/>
        <rFont val="Arial Narrow"/>
        <family val="2"/>
      </rPr>
      <t xml:space="preserve"> 1/2" tebal 1 Mm, panjang 6 M</t>
    </r>
  </si>
  <si>
    <r>
      <t xml:space="preserve">Pipa Stainless Steel </t>
    </r>
    <r>
      <rPr>
        <sz val="11"/>
        <rFont val="Calibri"/>
        <family val="2"/>
      </rPr>
      <t>Ø</t>
    </r>
    <r>
      <rPr>
        <sz val="11"/>
        <rFont val="Arial Narrow"/>
        <family val="2"/>
      </rPr>
      <t xml:space="preserve"> 1/2" tebal 1 Mm</t>
    </r>
  </si>
  <si>
    <r>
      <t xml:space="preserve">Pipa Stainless Steel </t>
    </r>
    <r>
      <rPr>
        <sz val="11"/>
        <rFont val="Calibri"/>
        <family val="2"/>
      </rPr>
      <t>Ø</t>
    </r>
    <r>
      <rPr>
        <sz val="11"/>
        <rFont val="Arial Narrow"/>
        <family val="2"/>
      </rPr>
      <t xml:space="preserve"> 1" tebal 1 Mm, panjang 6 M</t>
    </r>
  </si>
  <si>
    <r>
      <t xml:space="preserve">Pipa Stainless Steel </t>
    </r>
    <r>
      <rPr>
        <sz val="11"/>
        <rFont val="Calibri"/>
        <family val="2"/>
      </rPr>
      <t>Ø</t>
    </r>
    <r>
      <rPr>
        <sz val="11"/>
        <rFont val="Arial Narrow"/>
        <family val="2"/>
      </rPr>
      <t xml:space="preserve"> 1" tebal 1 Mm</t>
    </r>
  </si>
  <si>
    <r>
      <t xml:space="preserve">Pipa Stainless Steel </t>
    </r>
    <r>
      <rPr>
        <sz val="11"/>
        <rFont val="Calibri"/>
        <family val="2"/>
      </rPr>
      <t>Ø</t>
    </r>
    <r>
      <rPr>
        <sz val="11"/>
        <rFont val="Arial Narrow"/>
        <family val="2"/>
      </rPr>
      <t xml:space="preserve"> 2,5" tebal 1 Mm, panjang 6 M</t>
    </r>
  </si>
  <si>
    <r>
      <t xml:space="preserve">Pipa Stainless Steel </t>
    </r>
    <r>
      <rPr>
        <sz val="11"/>
        <rFont val="Calibri"/>
        <family val="2"/>
      </rPr>
      <t>Ø</t>
    </r>
    <r>
      <rPr>
        <sz val="11"/>
        <rFont val="Arial Narrow"/>
        <family val="2"/>
      </rPr>
      <t xml:space="preserve"> 2,5" tebal 1 Mm</t>
    </r>
  </si>
  <si>
    <r>
      <t>m</t>
    </r>
    <r>
      <rPr>
        <vertAlign val="superscript"/>
        <sz val="11"/>
        <rFont val="Arial Narrow"/>
        <family val="2"/>
      </rPr>
      <t>2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</si>
  <si>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rangka atap baja canal dingin profil C75 (tipe atap pelana)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</si>
  <si>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rangka hollow stainless 50.50.1,2 Mm (tipe atap pelana)</t>
    </r>
  </si>
  <si>
    <r>
      <t xml:space="preserve">  1m2 Pasang dinding</t>
    </r>
    <r>
      <rPr>
        <b/>
        <i/>
        <sz val="10"/>
        <rFont val="Arial Narrow"/>
        <family val="2"/>
      </rPr>
      <t xml:space="preserve"> insect net mesh 50</t>
    </r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</si>
  <si>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lantai ubin granit ukuran 30cm x 30cm</t>
    </r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</si>
  <si>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lantai ubin granit ukuran 40cm x 40cm</t>
    </r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</si>
  <si>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lantai ubin keramik ukuran 25cm x 25cm</t>
    </r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</si>
  <si>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lantai ubin keramik ukuran 25cm x 40cm</t>
    </r>
  </si>
  <si>
    <r>
      <t>M</t>
    </r>
    <r>
      <rPr>
        <b/>
        <vertAlign val="superscript"/>
        <sz val="11"/>
        <rFont val="Arial Narrow"/>
        <family val="2"/>
      </rPr>
      <t>3</t>
    </r>
  </si>
  <si>
    <r>
      <t>M</t>
    </r>
    <r>
      <rPr>
        <b/>
        <vertAlign val="superscript"/>
        <sz val="11"/>
        <rFont val="Arial Narrow"/>
        <family val="2"/>
      </rPr>
      <t>2</t>
    </r>
  </si>
  <si>
    <r>
      <t>M</t>
    </r>
    <r>
      <rPr>
        <b/>
        <vertAlign val="superscript"/>
        <sz val="11"/>
        <rFont val="Arial Narrow"/>
        <family val="2"/>
      </rPr>
      <t>1</t>
    </r>
  </si>
  <si>
    <t>Pekerjaan Tembok layar Polycarbonate Gelombang t = 0,8 mm</t>
  </si>
  <si>
    <r>
      <t xml:space="preserve">Pek.list/ bingkai besi plat strip 30.3,utk </t>
    </r>
    <r>
      <rPr>
        <i/>
        <sz val="10"/>
        <rFont val="Arial Narrow"/>
        <family val="2"/>
      </rPr>
      <t>screen insect net</t>
    </r>
    <r>
      <rPr>
        <sz val="10"/>
        <rFont val="Arial Narrow"/>
        <family val="2"/>
      </rPr>
      <t xml:space="preserve"> pada ventilasi</t>
    </r>
  </si>
  <si>
    <t>Pek. Wastafel komplit pada K. Mandi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</si>
</sst>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&quot;Rp&quot;* #,##0.00_-;\-&quot;Rp&quot;* #,##0.00_-;_-&quot;Rp&quot;* &quot;-&quot;??_-;_-@_-"/>
    <numFmt numFmtId="166" formatCode="_-* #,##0.00_-;\-* #,##0.00_-;_-* &quot;-&quot;??_-;_-@_-"/>
    <numFmt numFmtId="167" formatCode="_(* #,##0.000_);_(* \(#,##0.000\);_(* &quot;-&quot;_);_(@_)"/>
    <numFmt numFmtId="168" formatCode="_(* #,##0.00_);_(* \(#,##0.00\);_(* &quot;-&quot;_);_(@_)"/>
    <numFmt numFmtId="169" formatCode="_(* #,##0.0000_);_(* \(#,##0.0000\);_(* &quot;-&quot;_);_(@_)"/>
    <numFmt numFmtId="170" formatCode="_-* #,##0.00_-;\-* #,##0.00_-;_-* &quot;-&quot;_-;_-@_-"/>
    <numFmt numFmtId="171" formatCode="_-* #,##0.000_-;\-* #,##0.000_-;_-* &quot;-&quot;_-;_-@_-"/>
    <numFmt numFmtId="172" formatCode="#,##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Candara"/>
      <family val="2"/>
    </font>
    <font>
      <sz val="12"/>
      <name val="Candara"/>
      <family val="2"/>
    </font>
    <font>
      <u/>
      <sz val="12"/>
      <name val="Candara"/>
      <family val="2"/>
    </font>
    <font>
      <b/>
      <sz val="9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charset val="1"/>
    </font>
    <font>
      <b/>
      <i/>
      <sz val="10"/>
      <name val="Arial"/>
      <family val="2"/>
    </font>
    <font>
      <b/>
      <u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1"/>
      <name val="Candara"/>
      <family val="2"/>
    </font>
    <font>
      <sz val="11"/>
      <name val="Calibri"/>
      <family val="2"/>
      <scheme val="minor"/>
    </font>
    <font>
      <b/>
      <u/>
      <sz val="12"/>
      <name val="Candara"/>
      <family val="2"/>
    </font>
    <font>
      <b/>
      <sz val="16"/>
      <name val="Calisto MT"/>
      <family val="1"/>
    </font>
    <font>
      <b/>
      <sz val="14"/>
      <name val="Calisto MT"/>
      <family val="1"/>
    </font>
    <font>
      <b/>
      <sz val="12"/>
      <name val="Calisto MT"/>
      <family val="1"/>
    </font>
    <font>
      <b/>
      <sz val="11"/>
      <name val="Arial Narrow"/>
      <family val="2"/>
    </font>
    <font>
      <i/>
      <sz val="11"/>
      <name val="Arial Narrow"/>
      <family val="2"/>
    </font>
    <font>
      <sz val="11"/>
      <name val="Arial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sz val="26"/>
      <name val="Candara"/>
      <family val="2"/>
    </font>
    <font>
      <sz val="11"/>
      <name val="Candar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Candara"/>
      <family val="2"/>
    </font>
    <font>
      <sz val="14"/>
      <name val="Candara"/>
      <family val="2"/>
    </font>
    <font>
      <b/>
      <i/>
      <sz val="12"/>
      <name val="Candara"/>
      <family val="2"/>
    </font>
    <font>
      <b/>
      <u/>
      <sz val="11"/>
      <name val="Candara"/>
      <family val="2"/>
    </font>
    <font>
      <b/>
      <sz val="18"/>
      <name val="Calisto MT"/>
      <family val="1"/>
    </font>
    <font>
      <sz val="11"/>
      <name val="Calibri"/>
      <family val="2"/>
    </font>
    <font>
      <b/>
      <i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vertAlign val="superscript"/>
      <sz val="11"/>
      <name val="Arial Narrow"/>
      <family val="2"/>
    </font>
    <font>
      <sz val="10.5"/>
      <name val="Arial Narrow"/>
      <family val="2"/>
    </font>
    <font>
      <sz val="10.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1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/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slantDashDot">
        <color indexed="64"/>
      </bottom>
      <diagonal/>
    </border>
    <border>
      <left/>
      <right/>
      <top style="hair">
        <color indexed="64"/>
      </top>
      <bottom style="slantDashDot">
        <color indexed="64"/>
      </bottom>
      <diagonal/>
    </border>
    <border>
      <left style="thin">
        <color indexed="64"/>
      </left>
      <right/>
      <top style="thick">
        <color indexed="64"/>
      </top>
      <bottom style="slantDashDot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ck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slantDashDot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/>
      <right/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ck">
        <color indexed="64"/>
      </top>
      <bottom style="mediumDashDotDot">
        <color indexed="64"/>
      </bottom>
      <diagonal/>
    </border>
    <border>
      <left/>
      <right/>
      <top style="thick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ck">
        <color indexed="64"/>
      </top>
      <bottom style="mediumDashDotDot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DashDotDot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67" fontId="3" fillId="0" borderId="15" xfId="1" applyNumberFormat="1" applyFont="1" applyBorder="1" applyAlignment="1">
      <alignment vertical="center"/>
    </xf>
    <xf numFmtId="168" fontId="3" fillId="0" borderId="15" xfId="1" applyNumberFormat="1" applyFont="1" applyBorder="1" applyAlignment="1">
      <alignment vertical="center"/>
    </xf>
    <xf numFmtId="168" fontId="3" fillId="0" borderId="16" xfId="1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67" fontId="3" fillId="0" borderId="17" xfId="1" applyNumberFormat="1" applyFont="1" applyBorder="1" applyAlignment="1">
      <alignment vertical="center"/>
    </xf>
    <xf numFmtId="168" fontId="3" fillId="0" borderId="17" xfId="1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7" fontId="3" fillId="0" borderId="19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67" fontId="3" fillId="0" borderId="26" xfId="1" applyNumberFormat="1" applyFont="1" applyBorder="1" applyAlignment="1">
      <alignment vertical="center"/>
    </xf>
    <xf numFmtId="168" fontId="3" fillId="0" borderId="26" xfId="1" applyNumberFormat="1" applyFont="1" applyBorder="1" applyAlignment="1">
      <alignment vertical="center"/>
    </xf>
    <xf numFmtId="168" fontId="3" fillId="0" borderId="27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67" fontId="3" fillId="0" borderId="29" xfId="1" applyNumberFormat="1" applyFont="1" applyBorder="1" applyAlignment="1">
      <alignment vertical="center"/>
    </xf>
    <xf numFmtId="168" fontId="3" fillId="0" borderId="29" xfId="1" applyNumberFormat="1" applyFont="1" applyBorder="1" applyAlignment="1">
      <alignment vertical="center"/>
    </xf>
    <xf numFmtId="168" fontId="3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3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3" fontId="2" fillId="0" borderId="39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167" fontId="3" fillId="0" borderId="42" xfId="1" applyNumberFormat="1" applyFont="1" applyBorder="1" applyAlignment="1">
      <alignment vertical="center"/>
    </xf>
    <xf numFmtId="168" fontId="3" fillId="0" borderId="42" xfId="1" applyNumberFormat="1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169" fontId="3" fillId="0" borderId="15" xfId="1" applyNumberFormat="1" applyFont="1" applyBorder="1" applyAlignment="1">
      <alignment vertical="center"/>
    </xf>
    <xf numFmtId="169" fontId="3" fillId="0" borderId="19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8" fontId="3" fillId="0" borderId="84" xfId="1" applyNumberFormat="1" applyFont="1" applyBorder="1" applyAlignment="1">
      <alignment vertical="center"/>
    </xf>
    <xf numFmtId="171" fontId="3" fillId="0" borderId="26" xfId="1" applyNumberFormat="1" applyFont="1" applyBorder="1" applyAlignment="1">
      <alignment horizontal="right" vertical="center"/>
    </xf>
    <xf numFmtId="171" fontId="3" fillId="0" borderId="17" xfId="1" applyNumberFormat="1" applyFont="1" applyBorder="1" applyAlignment="1">
      <alignment horizontal="right" vertical="center"/>
    </xf>
    <xf numFmtId="171" fontId="3" fillId="0" borderId="15" xfId="1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171" fontId="3" fillId="0" borderId="87" xfId="1" applyNumberFormat="1" applyFont="1" applyBorder="1" applyAlignment="1">
      <alignment horizontal="right" vertical="center"/>
    </xf>
    <xf numFmtId="168" fontId="3" fillId="0" borderId="87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43" fontId="2" fillId="0" borderId="96" xfId="0" applyNumberFormat="1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8" fontId="3" fillId="0" borderId="98" xfId="1" applyNumberFormat="1" applyFont="1" applyBorder="1" applyAlignment="1">
      <alignment vertical="center"/>
    </xf>
    <xf numFmtId="169" fontId="3" fillId="0" borderId="17" xfId="1" applyNumberFormat="1" applyFont="1" applyBorder="1" applyAlignment="1">
      <alignment vertical="center"/>
    </xf>
    <xf numFmtId="168" fontId="3" fillId="0" borderId="99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3" fillId="0" borderId="115" xfId="0" applyFont="1" applyBorder="1" applyAlignment="1">
      <alignment vertical="center"/>
    </xf>
    <xf numFmtId="168" fontId="3" fillId="0" borderId="116" xfId="1" applyNumberFormat="1" applyFont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3" fillId="0" borderId="0" xfId="0" applyFont="1"/>
    <xf numFmtId="43" fontId="15" fillId="0" borderId="40" xfId="6" applyFont="1" applyBorder="1"/>
    <xf numFmtId="43" fontId="15" fillId="0" borderId="141" xfId="6" applyFont="1" applyBorder="1"/>
    <xf numFmtId="43" fontId="15" fillId="0" borderId="0" xfId="6" applyFont="1" applyBorder="1"/>
    <xf numFmtId="43" fontId="15" fillId="0" borderId="143" xfId="6" applyFont="1" applyBorder="1"/>
    <xf numFmtId="0" fontId="10" fillId="0" borderId="8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8" fillId="0" borderId="17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9" fillId="2" borderId="47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3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8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2" fontId="20" fillId="0" borderId="0" xfId="0" applyNumberFormat="1" applyFont="1"/>
    <xf numFmtId="0" fontId="20" fillId="0" borderId="0" xfId="0" applyFont="1"/>
    <xf numFmtId="0" fontId="10" fillId="0" borderId="0" xfId="0" applyFont="1"/>
    <xf numFmtId="170" fontId="10" fillId="0" borderId="0" xfId="1" applyNumberFormat="1" applyFont="1"/>
    <xf numFmtId="0" fontId="19" fillId="2" borderId="46" xfId="0" applyFont="1" applyFill="1" applyBorder="1" applyAlignment="1">
      <alignment horizontal="center" vertical="center"/>
    </xf>
    <xf numFmtId="170" fontId="19" fillId="2" borderId="47" xfId="1" applyNumberFormat="1" applyFont="1" applyFill="1" applyBorder="1" applyAlignment="1">
      <alignment horizontal="center" vertical="center" wrapText="1"/>
    </xf>
    <xf numFmtId="170" fontId="19" fillId="2" borderId="48" xfId="1" applyNumberFormat="1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center"/>
    </xf>
    <xf numFmtId="0" fontId="25" fillId="0" borderId="73" xfId="0" applyFont="1" applyBorder="1" applyAlignment="1">
      <alignment horizontal="left"/>
    </xf>
    <xf numFmtId="0" fontId="25" fillId="0" borderId="40" xfId="0" applyFont="1" applyBorder="1"/>
    <xf numFmtId="0" fontId="10" fillId="0" borderId="40" xfId="0" applyFont="1" applyBorder="1"/>
    <xf numFmtId="170" fontId="10" fillId="0" borderId="40" xfId="1" applyNumberFormat="1" applyFont="1" applyBorder="1"/>
    <xf numFmtId="170" fontId="10" fillId="0" borderId="53" xfId="1" applyNumberFormat="1" applyFont="1" applyBorder="1"/>
    <xf numFmtId="0" fontId="10" fillId="0" borderId="56" xfId="0" applyFont="1" applyBorder="1"/>
    <xf numFmtId="0" fontId="10" fillId="0" borderId="26" xfId="0" applyFont="1" applyBorder="1" applyAlignment="1">
      <alignment horizontal="center"/>
    </xf>
    <xf numFmtId="0" fontId="10" fillId="0" borderId="77" xfId="0" applyFont="1" applyBorder="1" applyAlignment="1">
      <alignment horizontal="left"/>
    </xf>
    <xf numFmtId="0" fontId="10" fillId="0" borderId="26" xfId="0" quotePrefix="1" applyFont="1" applyBorder="1" applyAlignment="1">
      <alignment horizontal="center"/>
    </xf>
    <xf numFmtId="170" fontId="10" fillId="0" borderId="26" xfId="1" applyNumberFormat="1" applyFont="1" applyBorder="1"/>
    <xf numFmtId="170" fontId="10" fillId="0" borderId="78" xfId="1" applyNumberFormat="1" applyFont="1" applyBorder="1"/>
    <xf numFmtId="0" fontId="10" fillId="0" borderId="43" xfId="0" applyFont="1" applyBorder="1"/>
    <xf numFmtId="0" fontId="10" fillId="0" borderId="15" xfId="0" quotePrefix="1" applyFont="1" applyBorder="1" applyAlignment="1">
      <alignment horizontal="center"/>
    </xf>
    <xf numFmtId="170" fontId="10" fillId="0" borderId="15" xfId="1" applyNumberFormat="1" applyFont="1" applyBorder="1"/>
    <xf numFmtId="170" fontId="10" fillId="0" borderId="79" xfId="1" applyNumberFormat="1" applyFont="1" applyBorder="1"/>
    <xf numFmtId="0" fontId="10" fillId="0" borderId="76" xfId="0" applyFont="1" applyBorder="1" applyAlignment="1">
      <alignment horizontal="left"/>
    </xf>
    <xf numFmtId="170" fontId="25" fillId="0" borderId="55" xfId="1" applyNumberFormat="1" applyFont="1" applyFill="1" applyBorder="1"/>
    <xf numFmtId="0" fontId="25" fillId="0" borderId="69" xfId="0" applyFont="1" applyBorder="1" applyAlignment="1">
      <alignment horizontal="center"/>
    </xf>
    <xf numFmtId="0" fontId="25" fillId="0" borderId="57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1" xfId="0" applyFont="1" applyBorder="1"/>
    <xf numFmtId="170" fontId="10" fillId="0" borderId="31" xfId="1" applyNumberFormat="1" applyFont="1" applyBorder="1"/>
    <xf numFmtId="170" fontId="10" fillId="0" borderId="64" xfId="1" applyNumberFormat="1" applyFont="1" applyBorder="1"/>
    <xf numFmtId="0" fontId="10" fillId="0" borderId="63" xfId="0" applyFont="1" applyBorder="1"/>
    <xf numFmtId="0" fontId="10" fillId="0" borderId="15" xfId="0" quotePrefix="1" applyFont="1" applyBorder="1" applyAlignment="1">
      <alignment horizontal="left"/>
    </xf>
    <xf numFmtId="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170" fontId="25" fillId="0" borderId="83" xfId="1" applyNumberFormat="1" applyFont="1" applyFill="1" applyBorder="1"/>
    <xf numFmtId="0" fontId="25" fillId="0" borderId="2" xfId="0" applyFont="1" applyBorder="1" applyAlignment="1">
      <alignment horizontal="center"/>
    </xf>
    <xf numFmtId="0" fontId="25" fillId="0" borderId="66" xfId="0" applyFont="1" applyBorder="1" applyAlignment="1">
      <alignment horizontal="left"/>
    </xf>
    <xf numFmtId="0" fontId="10" fillId="0" borderId="123" xfId="0" applyFont="1" applyBorder="1" applyAlignment="1">
      <alignment horizontal="left"/>
    </xf>
    <xf numFmtId="0" fontId="10" fillId="0" borderId="123" xfId="0" applyFont="1" applyBorder="1"/>
    <xf numFmtId="170" fontId="10" fillId="0" borderId="123" xfId="1" applyNumberFormat="1" applyFont="1" applyBorder="1"/>
    <xf numFmtId="170" fontId="10" fillId="0" borderId="105" xfId="1" applyNumberFormat="1" applyFont="1" applyBorder="1"/>
    <xf numFmtId="0" fontId="10" fillId="0" borderId="17" xfId="0" quotePrefix="1" applyFont="1" applyBorder="1" applyAlignment="1">
      <alignment horizontal="left"/>
    </xf>
    <xf numFmtId="170" fontId="10" fillId="0" borderId="17" xfId="1" applyNumberFormat="1" applyFont="1" applyBorder="1"/>
    <xf numFmtId="170" fontId="10" fillId="0" borderId="121" xfId="1" applyNumberFormat="1" applyFont="1" applyBorder="1"/>
    <xf numFmtId="170" fontId="10" fillId="0" borderId="19" xfId="1" applyNumberFormat="1" applyFont="1" applyBorder="1"/>
    <xf numFmtId="0" fontId="3" fillId="0" borderId="15" xfId="0" quotePrefix="1" applyFont="1" applyBorder="1" applyAlignment="1">
      <alignment horizontal="left"/>
    </xf>
    <xf numFmtId="170" fontId="20" fillId="0" borderId="0" xfId="0" applyNumberFormat="1" applyFont="1"/>
    <xf numFmtId="0" fontId="10" fillId="0" borderId="19" xfId="0" quotePrefix="1" applyFont="1" applyBorder="1" applyAlignment="1">
      <alignment horizontal="left"/>
    </xf>
    <xf numFmtId="170" fontId="10" fillId="0" borderId="165" xfId="1" applyNumberFormat="1" applyFont="1" applyBorder="1"/>
    <xf numFmtId="0" fontId="10" fillId="0" borderId="19" xfId="0" applyFont="1" applyBorder="1" applyAlignment="1">
      <alignment horizontal="left"/>
    </xf>
    <xf numFmtId="170" fontId="10" fillId="0" borderId="87" xfId="1" applyNumberFormat="1" applyFont="1" applyBorder="1"/>
    <xf numFmtId="170" fontId="10" fillId="0" borderId="162" xfId="1" applyNumberFormat="1" applyFont="1" applyBorder="1"/>
    <xf numFmtId="170" fontId="10" fillId="0" borderId="44" xfId="1" applyNumberFormat="1" applyFont="1" applyBorder="1"/>
    <xf numFmtId="0" fontId="10" fillId="0" borderId="87" xfId="0" applyFont="1" applyBorder="1" applyAlignment="1">
      <alignment horizontal="left"/>
    </xf>
    <xf numFmtId="0" fontId="10" fillId="0" borderId="0" xfId="0" applyFont="1" applyAlignment="1">
      <alignment horizontal="left"/>
    </xf>
    <xf numFmtId="170" fontId="20" fillId="0" borderId="0" xfId="1" applyNumberFormat="1" applyFont="1"/>
    <xf numFmtId="0" fontId="31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65" fontId="6" fillId="0" borderId="58" xfId="1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165" fontId="6" fillId="0" borderId="75" xfId="1" applyNumberFormat="1" applyFont="1" applyBorder="1" applyAlignment="1">
      <alignment vertical="center"/>
    </xf>
    <xf numFmtId="0" fontId="6" fillId="0" borderId="97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65" fontId="6" fillId="0" borderId="60" xfId="0" applyNumberFormat="1" applyFont="1" applyBorder="1" applyAlignment="1">
      <alignment vertical="center"/>
    </xf>
    <xf numFmtId="170" fontId="31" fillId="0" borderId="0" xfId="1" applyNumberFormat="1" applyFont="1"/>
    <xf numFmtId="0" fontId="6" fillId="0" borderId="61" xfId="0" applyFont="1" applyBorder="1" applyAlignment="1">
      <alignment vertical="center"/>
    </xf>
    <xf numFmtId="9" fontId="6" fillId="0" borderId="33" xfId="0" applyNumberFormat="1" applyFont="1" applyBorder="1" applyAlignment="1">
      <alignment vertical="center"/>
    </xf>
    <xf numFmtId="165" fontId="6" fillId="0" borderId="58" xfId="0" applyNumberFormat="1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165" fontId="6" fillId="0" borderId="65" xfId="0" applyNumberFormat="1" applyFont="1" applyBorder="1" applyAlignment="1">
      <alignment vertical="center"/>
    </xf>
    <xf numFmtId="170" fontId="31" fillId="0" borderId="0" xfId="0" applyNumberFormat="1" applyFont="1"/>
    <xf numFmtId="0" fontId="6" fillId="0" borderId="69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165" fontId="6" fillId="0" borderId="89" xfId="0" applyNumberFormat="1" applyFont="1" applyBorder="1" applyAlignment="1">
      <alignment vertical="center"/>
    </xf>
    <xf numFmtId="170" fontId="34" fillId="0" borderId="0" xfId="1" quotePrefix="1" applyNumberFormat="1" applyFont="1" applyAlignment="1">
      <alignment horizontal="right"/>
    </xf>
    <xf numFmtId="170" fontId="35" fillId="0" borderId="85" xfId="0" applyNumberFormat="1" applyFont="1" applyBorder="1"/>
    <xf numFmtId="0" fontId="35" fillId="0" borderId="80" xfId="0" applyFont="1" applyBorder="1"/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165" fontId="6" fillId="0" borderId="9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vertical="center"/>
    </xf>
    <xf numFmtId="2" fontId="31" fillId="0" borderId="0" xfId="0" applyNumberFormat="1" applyFont="1"/>
    <xf numFmtId="0" fontId="3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20" fillId="0" borderId="0" xfId="0" applyNumberFormat="1" applyFont="1"/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4" fontId="20" fillId="0" borderId="50" xfId="0" applyNumberFormat="1" applyFont="1" applyBorder="1" applyAlignment="1">
      <alignment horizontal="center" vertical="center" wrapText="1"/>
    </xf>
    <xf numFmtId="4" fontId="20" fillId="0" borderId="50" xfId="0" applyNumberFormat="1" applyFont="1" applyBorder="1" applyAlignment="1">
      <alignment horizontal="right" wrapText="1"/>
    </xf>
    <xf numFmtId="0" fontId="25" fillId="0" borderId="59" xfId="0" applyFont="1" applyBorder="1" applyAlignment="1">
      <alignment horizontal="center" vertical="center"/>
    </xf>
    <xf numFmtId="0" fontId="25" fillId="0" borderId="57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64" xfId="0" applyFont="1" applyBorder="1" applyAlignment="1">
      <alignment vertical="center"/>
    </xf>
    <xf numFmtId="4" fontId="20" fillId="0" borderId="50" xfId="0" applyNumberFormat="1" applyFont="1" applyBorder="1"/>
    <xf numFmtId="0" fontId="10" fillId="0" borderId="43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170" fontId="10" fillId="0" borderId="58" xfId="1" applyNumberFormat="1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71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170" fontId="10" fillId="0" borderId="72" xfId="1" applyNumberFormat="1" applyFont="1" applyBorder="1" applyAlignment="1">
      <alignment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0" fontId="10" fillId="0" borderId="44" xfId="1" applyNumberFormat="1" applyFont="1" applyBorder="1" applyAlignment="1">
      <alignment vertical="center"/>
    </xf>
    <xf numFmtId="170" fontId="10" fillId="0" borderId="58" xfId="1" applyNumberFormat="1" applyFont="1" applyFill="1" applyBorder="1" applyAlignment="1">
      <alignment vertical="center"/>
    </xf>
    <xf numFmtId="166" fontId="20" fillId="0" borderId="0" xfId="0" applyNumberFormat="1" applyFont="1"/>
    <xf numFmtId="0" fontId="3" fillId="0" borderId="50" xfId="0" applyFont="1" applyBorder="1" applyAlignment="1">
      <alignment vertical="center"/>
    </xf>
    <xf numFmtId="9" fontId="20" fillId="0" borderId="0" xfId="0" applyNumberFormat="1" applyFont="1"/>
    <xf numFmtId="0" fontId="10" fillId="0" borderId="9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170" fontId="10" fillId="0" borderId="75" xfId="1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4" fontId="10" fillId="0" borderId="58" xfId="1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4" fontId="10" fillId="0" borderId="101" xfId="1" applyNumberFormat="1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50" xfId="0" applyFont="1" applyBorder="1" applyAlignment="1">
      <alignment horizontal="center" vertical="center"/>
    </xf>
    <xf numFmtId="4" fontId="20" fillId="0" borderId="100" xfId="0" applyNumberFormat="1" applyFont="1" applyBorder="1" applyAlignment="1">
      <alignment vertical="center"/>
    </xf>
    <xf numFmtId="0" fontId="20" fillId="0" borderId="63" xfId="0" applyFont="1" applyBorder="1" applyAlignment="1">
      <alignment horizontal="center" vertical="center"/>
    </xf>
    <xf numFmtId="4" fontId="10" fillId="0" borderId="65" xfId="1" applyNumberFormat="1" applyFont="1" applyBorder="1" applyAlignment="1">
      <alignment vertical="center"/>
    </xf>
    <xf numFmtId="0" fontId="20" fillId="0" borderId="114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50" xfId="0" applyFont="1" applyBorder="1" applyAlignment="1">
      <alignment vertical="center"/>
    </xf>
    <xf numFmtId="0" fontId="20" fillId="0" borderId="103" xfId="0" applyFont="1" applyBorder="1" applyAlignment="1">
      <alignment horizontal="center" vertical="center"/>
    </xf>
    <xf numFmtId="0" fontId="20" fillId="0" borderId="91" xfId="0" applyFont="1" applyBorder="1" applyAlignment="1">
      <alignment vertical="center"/>
    </xf>
    <xf numFmtId="0" fontId="20" fillId="0" borderId="91" xfId="0" applyFont="1" applyBorder="1" applyAlignment="1">
      <alignment horizontal="center" vertical="center"/>
    </xf>
    <xf numFmtId="0" fontId="20" fillId="0" borderId="10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85" xfId="0" applyFont="1" applyBorder="1"/>
    <xf numFmtId="0" fontId="10" fillId="0" borderId="21" xfId="0" applyFont="1" applyBorder="1"/>
    <xf numFmtId="43" fontId="2" fillId="0" borderId="0" xfId="0" applyNumberFormat="1" applyFont="1" applyAlignment="1">
      <alignment vertical="center"/>
    </xf>
    <xf numFmtId="167" fontId="3" fillId="0" borderId="87" xfId="1" applyNumberFormat="1" applyFont="1" applyBorder="1" applyAlignment="1">
      <alignment vertical="center"/>
    </xf>
    <xf numFmtId="0" fontId="20" fillId="0" borderId="40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108" xfId="0" applyFont="1" applyBorder="1"/>
    <xf numFmtId="0" fontId="20" fillId="0" borderId="10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2" fillId="0" borderId="70" xfId="0" applyFont="1" applyBorder="1"/>
    <xf numFmtId="0" fontId="12" fillId="0" borderId="40" xfId="0" applyFont="1" applyBorder="1"/>
    <xf numFmtId="2" fontId="12" fillId="0" borderId="70" xfId="0" applyNumberFormat="1" applyFont="1" applyBorder="1"/>
    <xf numFmtId="43" fontId="12" fillId="0" borderId="40" xfId="6" applyFont="1" applyBorder="1"/>
    <xf numFmtId="172" fontId="12" fillId="0" borderId="29" xfId="0" applyNumberFormat="1" applyFont="1" applyBorder="1"/>
    <xf numFmtId="166" fontId="12" fillId="0" borderId="70" xfId="0" applyNumberFormat="1" applyFont="1" applyBorder="1"/>
    <xf numFmtId="43" fontId="12" fillId="0" borderId="70" xfId="0" applyNumberFormat="1" applyFont="1" applyBorder="1"/>
    <xf numFmtId="43" fontId="12" fillId="0" borderId="140" xfId="0" applyNumberFormat="1" applyFont="1" applyBorder="1"/>
    <xf numFmtId="0" fontId="12" fillId="0" borderId="50" xfId="0" applyFont="1" applyBorder="1"/>
    <xf numFmtId="0" fontId="12" fillId="0" borderId="12" xfId="0" applyFont="1" applyBorder="1"/>
    <xf numFmtId="43" fontId="12" fillId="0" borderId="50" xfId="6" applyFont="1" applyBorder="1"/>
    <xf numFmtId="43" fontId="12" fillId="0" borderId="12" xfId="6" applyFont="1" applyBorder="1"/>
    <xf numFmtId="172" fontId="12" fillId="0" borderId="50" xfId="0" applyNumberFormat="1" applyFont="1" applyBorder="1"/>
    <xf numFmtId="166" fontId="12" fillId="0" borderId="50" xfId="0" applyNumberFormat="1" applyFont="1" applyBorder="1"/>
    <xf numFmtId="0" fontId="12" fillId="0" borderId="34" xfId="0" applyFont="1" applyBorder="1"/>
    <xf numFmtId="2" fontId="12" fillId="0" borderId="50" xfId="0" applyNumberFormat="1" applyFont="1" applyBorder="1"/>
    <xf numFmtId="43" fontId="12" fillId="0" borderId="50" xfId="0" applyNumberFormat="1" applyFont="1" applyBorder="1"/>
    <xf numFmtId="0" fontId="12" fillId="0" borderId="29" xfId="0" applyFont="1" applyBorder="1"/>
    <xf numFmtId="0" fontId="12" fillId="0" borderId="114" xfId="0" applyFont="1" applyBorder="1"/>
    <xf numFmtId="43" fontId="12" fillId="0" borderId="114" xfId="6" applyFont="1" applyBorder="1"/>
    <xf numFmtId="43" fontId="12" fillId="0" borderId="29" xfId="0" applyNumberFormat="1" applyFont="1" applyBorder="1"/>
    <xf numFmtId="0" fontId="12" fillId="0" borderId="30" xfId="0" applyFont="1" applyBorder="1"/>
    <xf numFmtId="0" fontId="15" fillId="0" borderId="136" xfId="0" applyFont="1" applyBorder="1"/>
    <xf numFmtId="0" fontId="15" fillId="0" borderId="40" xfId="0" applyFont="1" applyBorder="1"/>
    <xf numFmtId="0" fontId="15" fillId="0" borderId="40" xfId="0" applyFont="1" applyBorder="1" applyAlignment="1">
      <alignment horizontal="right"/>
    </xf>
    <xf numFmtId="0" fontId="15" fillId="0" borderId="142" xfId="0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3" fillId="0" borderId="138" xfId="0" applyFont="1" applyBorder="1"/>
    <xf numFmtId="0" fontId="13" fillId="0" borderId="94" xfId="0" applyFont="1" applyBorder="1"/>
    <xf numFmtId="0" fontId="13" fillId="0" borderId="94" xfId="0" applyFont="1" applyBorder="1" applyAlignment="1">
      <alignment horizontal="right"/>
    </xf>
    <xf numFmtId="43" fontId="13" fillId="0" borderId="94" xfId="0" applyNumberFormat="1" applyFont="1" applyBorder="1"/>
    <xf numFmtId="43" fontId="13" fillId="0" borderId="144" xfId="0" applyNumberFormat="1" applyFont="1" applyBorder="1"/>
    <xf numFmtId="0" fontId="20" fillId="0" borderId="37" xfId="0" applyFont="1" applyBorder="1"/>
    <xf numFmtId="172" fontId="20" fillId="0" borderId="108" xfId="0" applyNumberFormat="1" applyFont="1" applyBorder="1"/>
    <xf numFmtId="0" fontId="20" fillId="0" borderId="39" xfId="0" applyFont="1" applyBorder="1"/>
    <xf numFmtId="43" fontId="12" fillId="0" borderId="34" xfId="0" applyNumberFormat="1" applyFont="1" applyBorder="1"/>
    <xf numFmtId="0" fontId="12" fillId="3" borderId="50" xfId="0" applyFont="1" applyFill="1" applyBorder="1"/>
    <xf numFmtId="0" fontId="12" fillId="3" borderId="12" xfId="0" applyFont="1" applyFill="1" applyBorder="1"/>
    <xf numFmtId="43" fontId="12" fillId="3" borderId="12" xfId="6" applyFont="1" applyFill="1" applyBorder="1"/>
    <xf numFmtId="172" fontId="12" fillId="3" borderId="50" xfId="0" applyNumberFormat="1" applyFont="1" applyFill="1" applyBorder="1"/>
    <xf numFmtId="43" fontId="12" fillId="3" borderId="50" xfId="0" applyNumberFormat="1" applyFont="1" applyFill="1" applyBorder="1"/>
    <xf numFmtId="0" fontId="12" fillId="3" borderId="34" xfId="0" applyFont="1" applyFill="1" applyBorder="1"/>
    <xf numFmtId="2" fontId="12" fillId="3" borderId="50" xfId="0" applyNumberFormat="1" applyFont="1" applyFill="1" applyBorder="1"/>
    <xf numFmtId="0" fontId="12" fillId="4" borderId="50" xfId="0" applyFont="1" applyFill="1" applyBorder="1"/>
    <xf numFmtId="0" fontId="12" fillId="4" borderId="12" xfId="0" applyFont="1" applyFill="1" applyBorder="1"/>
    <xf numFmtId="43" fontId="12" fillId="4" borderId="12" xfId="6" applyFont="1" applyFill="1" applyBorder="1"/>
    <xf numFmtId="172" fontId="12" fillId="4" borderId="50" xfId="0" applyNumberFormat="1" applyFont="1" applyFill="1" applyBorder="1"/>
    <xf numFmtId="43" fontId="12" fillId="4" borderId="50" xfId="0" applyNumberFormat="1" applyFont="1" applyFill="1" applyBorder="1"/>
    <xf numFmtId="0" fontId="12" fillId="4" borderId="34" xfId="0" applyFont="1" applyFill="1" applyBorder="1"/>
    <xf numFmtId="2" fontId="12" fillId="4" borderId="50" xfId="0" applyNumberFormat="1" applyFont="1" applyFill="1" applyBorder="1"/>
    <xf numFmtId="43" fontId="12" fillId="0" borderId="12" xfId="6" applyFont="1" applyFill="1" applyBorder="1"/>
    <xf numFmtId="0" fontId="12" fillId="0" borderId="11" xfId="0" applyFont="1" applyBorder="1"/>
    <xf numFmtId="4" fontId="10" fillId="0" borderId="0" xfId="0" applyNumberFormat="1" applyFont="1"/>
    <xf numFmtId="4" fontId="25" fillId="0" borderId="108" xfId="0" applyNumberFormat="1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17" xfId="0" applyFont="1" applyBorder="1" applyAlignment="1">
      <alignment horizontal="center"/>
    </xf>
    <xf numFmtId="0" fontId="25" fillId="0" borderId="118" xfId="0" applyFont="1" applyBorder="1"/>
    <xf numFmtId="4" fontId="10" fillId="0" borderId="118" xfId="0" applyNumberFormat="1" applyFont="1" applyBorder="1"/>
    <xf numFmtId="0" fontId="10" fillId="0" borderId="118" xfId="0" applyFont="1" applyBorder="1"/>
    <xf numFmtId="0" fontId="10" fillId="0" borderId="119" xfId="0" applyFont="1" applyBorder="1"/>
    <xf numFmtId="0" fontId="25" fillId="0" borderId="120" xfId="0" applyFont="1" applyBorder="1" applyAlignment="1">
      <alignment horizontal="center"/>
    </xf>
    <xf numFmtId="0" fontId="25" fillId="0" borderId="17" xfId="0" applyFont="1" applyBorder="1"/>
    <xf numFmtId="4" fontId="10" fillId="0" borderId="17" xfId="0" applyNumberFormat="1" applyFont="1" applyBorder="1"/>
    <xf numFmtId="0" fontId="10" fillId="0" borderId="17" xfId="0" applyFont="1" applyBorder="1"/>
    <xf numFmtId="0" fontId="10" fillId="0" borderId="121" xfId="0" applyFont="1" applyBorder="1"/>
    <xf numFmtId="0" fontId="29" fillId="0" borderId="120" xfId="0" applyFont="1" applyBorder="1" applyAlignment="1">
      <alignment horizontal="center"/>
    </xf>
    <xf numFmtId="0" fontId="29" fillId="0" borderId="17" xfId="0" applyFont="1" applyBorder="1"/>
    <xf numFmtId="4" fontId="10" fillId="0" borderId="124" xfId="0" applyNumberFormat="1" applyFont="1" applyBorder="1"/>
    <xf numFmtId="0" fontId="10" fillId="0" borderId="122" xfId="0" applyFont="1" applyBorder="1"/>
    <xf numFmtId="0" fontId="10" fillId="0" borderId="15" xfId="0" applyFont="1" applyBorder="1"/>
    <xf numFmtId="4" fontId="10" fillId="0" borderId="111" xfId="0" applyNumberFormat="1" applyFont="1" applyBorder="1"/>
    <xf numFmtId="4" fontId="10" fillId="0" borderId="15" xfId="0" applyNumberFormat="1" applyFont="1" applyBorder="1"/>
    <xf numFmtId="2" fontId="10" fillId="0" borderId="15" xfId="0" applyNumberFormat="1" applyFont="1" applyBorder="1"/>
    <xf numFmtId="0" fontId="10" fillId="0" borderId="79" xfId="0" applyFont="1" applyBorder="1"/>
    <xf numFmtId="0" fontId="10" fillId="0" borderId="110" xfId="0" applyFont="1" applyBorder="1"/>
    <xf numFmtId="0" fontId="10" fillId="0" borderId="19" xfId="0" applyFont="1" applyBorder="1"/>
    <xf numFmtId="4" fontId="10" fillId="0" borderId="19" xfId="0" applyNumberFormat="1" applyFont="1" applyBorder="1"/>
    <xf numFmtId="2" fontId="10" fillId="0" borderId="19" xfId="0" applyNumberFormat="1" applyFont="1" applyBorder="1"/>
    <xf numFmtId="2" fontId="25" fillId="0" borderId="128" xfId="0" applyNumberFormat="1" applyFont="1" applyBorder="1"/>
    <xf numFmtId="0" fontId="25" fillId="0" borderId="129" xfId="0" applyFont="1" applyBorder="1"/>
    <xf numFmtId="0" fontId="29" fillId="0" borderId="130" xfId="0" applyFont="1" applyBorder="1"/>
    <xf numFmtId="4" fontId="10" fillId="0" borderId="130" xfId="0" applyNumberFormat="1" applyFont="1" applyBorder="1"/>
    <xf numFmtId="0" fontId="10" fillId="0" borderId="130" xfId="0" applyFont="1" applyBorder="1"/>
    <xf numFmtId="0" fontId="10" fillId="0" borderId="125" xfId="0" applyFont="1" applyBorder="1"/>
    <xf numFmtId="2" fontId="25" fillId="0" borderId="15" xfId="0" applyNumberFormat="1" applyFont="1" applyBorder="1"/>
    <xf numFmtId="0" fontId="25" fillId="0" borderId="79" xfId="0" applyFont="1" applyBorder="1"/>
    <xf numFmtId="0" fontId="25" fillId="0" borderId="112" xfId="0" applyFont="1" applyBorder="1"/>
    <xf numFmtId="4" fontId="10" fillId="0" borderId="131" xfId="0" applyNumberFormat="1" applyFont="1" applyBorder="1"/>
    <xf numFmtId="4" fontId="10" fillId="0" borderId="132" xfId="0" applyNumberFormat="1" applyFont="1" applyBorder="1"/>
    <xf numFmtId="2" fontId="10" fillId="0" borderId="130" xfId="0" applyNumberFormat="1" applyFont="1" applyBorder="1"/>
    <xf numFmtId="2" fontId="25" fillId="0" borderId="130" xfId="0" applyNumberFormat="1" applyFont="1" applyBorder="1"/>
    <xf numFmtId="0" fontId="25" fillId="0" borderId="133" xfId="0" applyFont="1" applyBorder="1"/>
    <xf numFmtId="0" fontId="10" fillId="0" borderId="112" xfId="0" applyFont="1" applyBorder="1"/>
    <xf numFmtId="0" fontId="10" fillId="0" borderId="134" xfId="0" applyFont="1" applyBorder="1"/>
    <xf numFmtId="0" fontId="25" fillId="0" borderId="122" xfId="0" applyFont="1" applyBorder="1" applyAlignment="1">
      <alignment horizontal="center"/>
    </xf>
    <xf numFmtId="0" fontId="25" fillId="0" borderId="130" xfId="0" applyFont="1" applyBorder="1"/>
    <xf numFmtId="2" fontId="25" fillId="0" borderId="135" xfId="0" applyNumberFormat="1" applyFont="1" applyBorder="1" applyAlignment="1">
      <alignment horizontal="center"/>
    </xf>
    <xf numFmtId="2" fontId="25" fillId="0" borderId="130" xfId="0" applyNumberFormat="1" applyFont="1" applyBorder="1" applyAlignment="1">
      <alignment horizontal="center"/>
    </xf>
    <xf numFmtId="0" fontId="25" fillId="0" borderId="125" xfId="0" applyFont="1" applyBorder="1"/>
    <xf numFmtId="0" fontId="10" fillId="0" borderId="15" xfId="0" applyFont="1" applyBorder="1" applyAlignment="1">
      <alignment horizontal="right"/>
    </xf>
    <xf numFmtId="172" fontId="10" fillId="0" borderId="15" xfId="0" applyNumberFormat="1" applyFont="1" applyBorder="1"/>
    <xf numFmtId="2" fontId="10" fillId="0" borderId="17" xfId="0" applyNumberFormat="1" applyFont="1" applyBorder="1"/>
    <xf numFmtId="0" fontId="10" fillId="0" borderId="174" xfId="0" applyFont="1" applyBorder="1"/>
    <xf numFmtId="4" fontId="10" fillId="0" borderId="175" xfId="0" applyNumberFormat="1" applyFont="1" applyBorder="1"/>
    <xf numFmtId="4" fontId="10" fillId="0" borderId="174" xfId="0" applyNumberFormat="1" applyFont="1" applyBorder="1"/>
    <xf numFmtId="2" fontId="10" fillId="0" borderId="174" xfId="0" applyNumberFormat="1" applyFont="1" applyBorder="1"/>
    <xf numFmtId="0" fontId="10" fillId="0" borderId="176" xfId="0" applyFont="1" applyBorder="1"/>
    <xf numFmtId="0" fontId="10" fillId="0" borderId="177" xfId="0" applyFont="1" applyBorder="1"/>
    <xf numFmtId="4" fontId="10" fillId="0" borderId="178" xfId="0" applyNumberFormat="1" applyFont="1" applyBorder="1"/>
    <xf numFmtId="4" fontId="10" fillId="0" borderId="177" xfId="0" applyNumberFormat="1" applyFont="1" applyBorder="1"/>
    <xf numFmtId="2" fontId="10" fillId="0" borderId="177" xfId="0" applyNumberFormat="1" applyFont="1" applyBorder="1"/>
    <xf numFmtId="2" fontId="25" fillId="0" borderId="181" xfId="0" applyNumberFormat="1" applyFont="1" applyBorder="1"/>
    <xf numFmtId="0" fontId="25" fillId="0" borderId="182" xfId="0" applyFont="1" applyBorder="1"/>
    <xf numFmtId="0" fontId="10" fillId="0" borderId="42" xfId="0" applyFont="1" applyBorder="1"/>
    <xf numFmtId="4" fontId="10" fillId="0" borderId="42" xfId="0" applyNumberFormat="1" applyFont="1" applyBorder="1"/>
    <xf numFmtId="2" fontId="10" fillId="0" borderId="42" xfId="0" applyNumberFormat="1" applyFont="1" applyBorder="1"/>
    <xf numFmtId="2" fontId="20" fillId="0" borderId="0" xfId="0" applyNumberFormat="1" applyFont="1"/>
    <xf numFmtId="4" fontId="25" fillId="0" borderId="181" xfId="0" applyNumberFormat="1" applyFont="1" applyBorder="1"/>
    <xf numFmtId="0" fontId="26" fillId="0" borderId="19" xfId="0" applyFont="1" applyBorder="1" applyAlignment="1">
      <alignment horizontal="right"/>
    </xf>
    <xf numFmtId="0" fontId="25" fillId="0" borderId="113" xfId="0" applyFont="1" applyBorder="1"/>
    <xf numFmtId="0" fontId="26" fillId="0" borderId="15" xfId="0" applyFont="1" applyBorder="1" applyAlignment="1">
      <alignment horizontal="right"/>
    </xf>
    <xf numFmtId="0" fontId="10" fillId="0" borderId="150" xfId="0" applyFont="1" applyBorder="1"/>
    <xf numFmtId="0" fontId="10" fillId="0" borderId="153" xfId="0" applyFont="1" applyBorder="1"/>
    <xf numFmtId="4" fontId="10" fillId="0" borderId="154" xfId="0" applyNumberFormat="1" applyFont="1" applyBorder="1"/>
    <xf numFmtId="4" fontId="10" fillId="0" borderId="153" xfId="0" applyNumberFormat="1" applyFont="1" applyBorder="1"/>
    <xf numFmtId="2" fontId="10" fillId="0" borderId="153" xfId="0" applyNumberFormat="1" applyFont="1" applyBorder="1"/>
    <xf numFmtId="2" fontId="25" fillId="0" borderId="157" xfId="0" applyNumberFormat="1" applyFont="1" applyBorder="1"/>
    <xf numFmtId="0" fontId="25" fillId="0" borderId="158" xfId="0" applyFont="1" applyBorder="1"/>
    <xf numFmtId="2" fontId="25" fillId="0" borderId="17" xfId="0" applyNumberFormat="1" applyFont="1" applyBorder="1"/>
    <xf numFmtId="0" fontId="25" fillId="0" borderId="152" xfId="0" applyFont="1" applyBorder="1"/>
    <xf numFmtId="0" fontId="3" fillId="0" borderId="15" xfId="0" applyFont="1" applyBorder="1"/>
    <xf numFmtId="0" fontId="10" fillId="0" borderId="151" xfId="0" applyFont="1" applyBorder="1"/>
    <xf numFmtId="0" fontId="10" fillId="0" borderId="87" xfId="0" applyFont="1" applyBorder="1"/>
    <xf numFmtId="4" fontId="10" fillId="0" borderId="145" xfId="0" applyNumberFormat="1" applyFont="1" applyBorder="1"/>
    <xf numFmtId="4" fontId="10" fillId="0" borderId="87" xfId="0" applyNumberFormat="1" applyFont="1" applyBorder="1"/>
    <xf numFmtId="2" fontId="10" fillId="0" borderId="87" xfId="0" applyNumberFormat="1" applyFont="1" applyBorder="1"/>
    <xf numFmtId="2" fontId="25" fillId="0" borderId="148" xfId="0" applyNumberFormat="1" applyFont="1" applyBorder="1"/>
    <xf numFmtId="0" fontId="25" fillId="0" borderId="149" xfId="0" applyFont="1" applyBorder="1"/>
    <xf numFmtId="0" fontId="29" fillId="0" borderId="117" xfId="0" applyFont="1" applyBorder="1" applyAlignment="1">
      <alignment horizontal="center"/>
    </xf>
    <xf numFmtId="0" fontId="29" fillId="0" borderId="118" xfId="0" applyFont="1" applyBorder="1"/>
    <xf numFmtId="4" fontId="10" fillId="0" borderId="173" xfId="0" applyNumberFormat="1" applyFont="1" applyBorder="1"/>
    <xf numFmtId="2" fontId="10" fillId="0" borderId="118" xfId="0" applyNumberFormat="1" applyFont="1" applyBorder="1"/>
    <xf numFmtId="2" fontId="25" fillId="0" borderId="118" xfId="0" applyNumberFormat="1" applyFont="1" applyBorder="1"/>
    <xf numFmtId="0" fontId="25" fillId="0" borderId="53" xfId="0" applyFont="1" applyBorder="1"/>
    <xf numFmtId="0" fontId="10" fillId="0" borderId="159" xfId="0" applyFont="1" applyBorder="1"/>
    <xf numFmtId="0" fontId="29" fillId="0" borderId="159" xfId="0" applyFont="1" applyBorder="1" applyAlignment="1">
      <alignment horizontal="center"/>
    </xf>
    <xf numFmtId="0" fontId="29" fillId="0" borderId="160" xfId="0" applyFont="1" applyBorder="1"/>
    <xf numFmtId="4" fontId="10" fillId="0" borderId="161" xfId="0" applyNumberFormat="1" applyFont="1" applyBorder="1"/>
    <xf numFmtId="4" fontId="10" fillId="0" borderId="160" xfId="0" applyNumberFormat="1" applyFont="1" applyBorder="1"/>
    <xf numFmtId="2" fontId="10" fillId="0" borderId="160" xfId="0" applyNumberFormat="1" applyFont="1" applyBorder="1"/>
    <xf numFmtId="0" fontId="10" fillId="0" borderId="160" xfId="0" applyFont="1" applyBorder="1"/>
    <xf numFmtId="0" fontId="25" fillId="0" borderId="44" xfId="0" applyFont="1" applyBorder="1"/>
    <xf numFmtId="0" fontId="25" fillId="0" borderId="163" xfId="0" applyFont="1" applyBorder="1"/>
    <xf numFmtId="0" fontId="10" fillId="0" borderId="164" xfId="0" applyFont="1" applyBorder="1"/>
    <xf numFmtId="0" fontId="28" fillId="0" borderId="15" xfId="0" applyFont="1" applyBorder="1" applyAlignment="1">
      <alignment horizontal="right"/>
    </xf>
    <xf numFmtId="0" fontId="10" fillId="0" borderId="76" xfId="0" applyFont="1" applyBorder="1"/>
    <xf numFmtId="0" fontId="28" fillId="0" borderId="19" xfId="0" applyFont="1" applyBorder="1" applyAlignment="1">
      <alignment horizontal="right"/>
    </xf>
    <xf numFmtId="0" fontId="10" fillId="0" borderId="166" xfId="0" applyFont="1" applyBorder="1"/>
    <xf numFmtId="0" fontId="10" fillId="0" borderId="167" xfId="0" applyFont="1" applyBorder="1"/>
    <xf numFmtId="4" fontId="10" fillId="0" borderId="168" xfId="0" applyNumberFormat="1" applyFont="1" applyBorder="1"/>
    <xf numFmtId="4" fontId="10" fillId="0" borderId="167" xfId="0" applyNumberFormat="1" applyFont="1" applyBorder="1"/>
    <xf numFmtId="2" fontId="10" fillId="0" borderId="167" xfId="0" applyNumberFormat="1" applyFont="1" applyBorder="1"/>
    <xf numFmtId="2" fontId="25" fillId="0" borderId="171" xfId="0" applyNumberFormat="1" applyFont="1" applyBorder="1"/>
    <xf numFmtId="0" fontId="25" fillId="0" borderId="172" xfId="0" applyFont="1" applyBorder="1"/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25" fillId="0" borderId="54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8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2" fontId="25" fillId="0" borderId="179" xfId="0" applyNumberFormat="1" applyFont="1" applyBorder="1" applyAlignment="1">
      <alignment horizontal="center"/>
    </xf>
    <xf numFmtId="2" fontId="25" fillId="0" borderId="180" xfId="0" applyNumberFormat="1" applyFont="1" applyBorder="1" applyAlignment="1">
      <alignment horizontal="center"/>
    </xf>
    <xf numFmtId="2" fontId="25" fillId="0" borderId="155" xfId="0" applyNumberFormat="1" applyFont="1" applyBorder="1" applyAlignment="1">
      <alignment horizontal="center"/>
    </xf>
    <xf numFmtId="2" fontId="25" fillId="0" borderId="156" xfId="0" applyNumberFormat="1" applyFont="1" applyBorder="1" applyAlignment="1">
      <alignment horizontal="center"/>
    </xf>
    <xf numFmtId="2" fontId="25" fillId="0" borderId="169" xfId="0" applyNumberFormat="1" applyFont="1" applyBorder="1" applyAlignment="1">
      <alignment horizontal="center"/>
    </xf>
    <xf numFmtId="2" fontId="25" fillId="0" borderId="170" xfId="0" applyNumberFormat="1" applyFont="1" applyBorder="1" applyAlignment="1">
      <alignment horizontal="center"/>
    </xf>
    <xf numFmtId="2" fontId="25" fillId="0" borderId="126" xfId="0" applyNumberFormat="1" applyFont="1" applyBorder="1" applyAlignment="1">
      <alignment horizontal="center"/>
    </xf>
    <xf numFmtId="2" fontId="25" fillId="0" borderId="127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2" fontId="25" fillId="0" borderId="146" xfId="0" applyNumberFormat="1" applyFont="1" applyBorder="1" applyAlignment="1">
      <alignment horizontal="center"/>
    </xf>
    <xf numFmtId="2" fontId="25" fillId="0" borderId="147" xfId="0" applyNumberFormat="1" applyFont="1" applyBorder="1" applyAlignment="1">
      <alignment horizontal="center"/>
    </xf>
    <xf numFmtId="0" fontId="20" fillId="0" borderId="136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37" xfId="0" applyFont="1" applyBorder="1" applyAlignment="1">
      <alignment horizontal="center"/>
    </xf>
    <xf numFmtId="0" fontId="13" fillId="0" borderId="139" xfId="0" applyFont="1" applyBorder="1" applyAlignment="1">
      <alignment horizontal="center" vertical="center" textRotation="255" wrapText="1"/>
    </xf>
    <xf numFmtId="0" fontId="13" fillId="0" borderId="41" xfId="0" applyFont="1" applyBorder="1" applyAlignment="1">
      <alignment horizontal="center" vertical="center" textRotation="255" wrapText="1"/>
    </xf>
    <xf numFmtId="0" fontId="13" fillId="0" borderId="92" xfId="0" applyFont="1" applyBorder="1" applyAlignment="1">
      <alignment horizontal="center" vertical="center" textRotation="255" wrapText="1"/>
    </xf>
    <xf numFmtId="43" fontId="13" fillId="0" borderId="94" xfId="0" applyNumberFormat="1" applyFont="1" applyBorder="1" applyAlignment="1">
      <alignment horizontal="center"/>
    </xf>
    <xf numFmtId="0" fontId="17" fillId="0" borderId="139" xfId="0" applyFont="1" applyBorder="1" applyAlignment="1">
      <alignment horizontal="center" vertical="center" textRotation="255" wrapText="1"/>
    </xf>
    <xf numFmtId="0" fontId="17" fillId="0" borderId="41" xfId="0" applyFont="1" applyBorder="1" applyAlignment="1">
      <alignment horizontal="center" vertical="center" textRotation="255" wrapText="1"/>
    </xf>
    <xf numFmtId="0" fontId="17" fillId="0" borderId="92" xfId="0" applyFont="1" applyBorder="1" applyAlignment="1">
      <alignment horizontal="center" vertical="center" textRotation="255" wrapText="1"/>
    </xf>
    <xf numFmtId="0" fontId="23" fillId="0" borderId="0" xfId="0" applyFont="1" applyAlignment="1">
      <alignment horizontal="center"/>
    </xf>
    <xf numFmtId="0" fontId="19" fillId="2" borderId="47" xfId="0" applyFont="1" applyFill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/>
    </xf>
    <xf numFmtId="0" fontId="44" fillId="0" borderId="76" xfId="0" applyFont="1" applyBorder="1" applyAlignment="1">
      <alignment horizontal="left"/>
    </xf>
    <xf numFmtId="0" fontId="44" fillId="0" borderId="15" xfId="0" quotePrefix="1" applyFont="1" applyBorder="1" applyAlignment="1">
      <alignment horizontal="left"/>
    </xf>
    <xf numFmtId="0" fontId="44" fillId="0" borderId="17" xfId="0" quotePrefix="1" applyFont="1" applyBorder="1" applyAlignment="1">
      <alignment horizontal="left"/>
    </xf>
    <xf numFmtId="0" fontId="45" fillId="0" borderId="15" xfId="0" quotePrefix="1" applyFont="1" applyBorder="1" applyAlignment="1">
      <alignment horizontal="left"/>
    </xf>
    <xf numFmtId="0" fontId="45" fillId="0" borderId="17" xfId="0" quotePrefix="1" applyFont="1" applyBorder="1" applyAlignment="1">
      <alignment horizontal="left"/>
    </xf>
  </cellXfs>
  <cellStyles count="7">
    <cellStyle name="Comma [0]" xfId="1" builtinId="6"/>
    <cellStyle name="Comma [0] 2" xfId="4" xr:uid="{00000000-0005-0000-0000-000001000000}"/>
    <cellStyle name="Comma 2" xfId="5" xr:uid="{00000000-0005-0000-0000-000002000000}"/>
    <cellStyle name="Comma 2 10" xfId="6" xr:uid="{00000000-0005-0000-0000-000003000000}"/>
    <cellStyle name="Comma 3" xfId="3" xr:uid="{00000000-0005-0000-0000-000004000000}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mruColors>
      <color rgb="FF00FF00"/>
      <color rgb="FFCC00CC"/>
      <color rgb="FFFF99CC"/>
      <color rgb="FFEAEAEA"/>
      <color rgb="FFD6009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view="pageBreakPreview" topLeftCell="A10" zoomScale="85" zoomScaleNormal="85" zoomScaleSheetLayoutView="85" workbookViewId="0">
      <selection activeCell="C11" sqref="C11"/>
    </sheetView>
  </sheetViews>
  <sheetFormatPr defaultColWidth="9.140625" defaultRowHeight="15" x14ac:dyDescent="0.25"/>
  <cols>
    <col min="1" max="1" width="5" style="225" customWidth="1"/>
    <col min="2" max="2" width="27.7109375" style="225" customWidth="1"/>
    <col min="3" max="3" width="32.7109375" style="225" customWidth="1"/>
    <col min="4" max="4" width="24.28515625" style="225" customWidth="1"/>
    <col min="5" max="5" width="14.5703125" style="191" bestFit="1" customWidth="1"/>
    <col min="6" max="6" width="21.85546875" style="191" bestFit="1" customWidth="1"/>
    <col min="7" max="16384" width="9.140625" style="191"/>
  </cols>
  <sheetData>
    <row r="1" spans="1:4" ht="26.25" customHeight="1" x14ac:dyDescent="0.25">
      <c r="A1" s="465" t="s">
        <v>308</v>
      </c>
      <c r="B1" s="465"/>
      <c r="C1" s="465"/>
      <c r="D1" s="465"/>
    </row>
    <row r="2" spans="1:4" ht="20.100000000000001" customHeight="1" x14ac:dyDescent="0.25">
      <c r="A2" s="466" t="s">
        <v>785</v>
      </c>
      <c r="B2" s="466"/>
      <c r="C2" s="466"/>
      <c r="D2" s="466"/>
    </row>
    <row r="3" spans="1:4" ht="20.100000000000001" customHeight="1" x14ac:dyDescent="0.25">
      <c r="A3" s="466" t="s">
        <v>787</v>
      </c>
      <c r="B3" s="466"/>
      <c r="C3" s="466"/>
      <c r="D3" s="466"/>
    </row>
    <row r="4" spans="1:4" ht="19.149999999999999" customHeight="1" x14ac:dyDescent="0.25">
      <c r="A4" s="466" t="s">
        <v>786</v>
      </c>
      <c r="B4" s="466"/>
      <c r="C4" s="466"/>
      <c r="D4" s="466"/>
    </row>
    <row r="5" spans="1:4" ht="20.100000000000001" customHeight="1" x14ac:dyDescent="0.25">
      <c r="A5" s="467" t="s">
        <v>307</v>
      </c>
      <c r="B5" s="467"/>
      <c r="C5" s="467"/>
      <c r="D5" s="467"/>
    </row>
    <row r="6" spans="1:4" ht="20.100000000000001" customHeight="1" thickBot="1" x14ac:dyDescent="0.3">
      <c r="A6" s="468"/>
      <c r="B6" s="468"/>
      <c r="C6" s="468"/>
      <c r="D6" s="468"/>
    </row>
    <row r="7" spans="1:4" ht="45" customHeight="1" thickTop="1" x14ac:dyDescent="0.25">
      <c r="A7" s="192" t="s">
        <v>24</v>
      </c>
      <c r="B7" s="463" t="s">
        <v>50</v>
      </c>
      <c r="C7" s="464"/>
      <c r="D7" s="193" t="s">
        <v>45</v>
      </c>
    </row>
    <row r="8" spans="1:4" ht="24.95" customHeight="1" x14ac:dyDescent="0.25">
      <c r="A8" s="194" t="str">
        <f>RAB!A8</f>
        <v>I</v>
      </c>
      <c r="B8" s="195" t="str">
        <f>RAB!B8</f>
        <v>PEKERJAAN PENDAHULUAN</v>
      </c>
      <c r="C8" s="196"/>
      <c r="D8" s="197">
        <f>RAB!H17</f>
        <v>3180000</v>
      </c>
    </row>
    <row r="9" spans="1:4" ht="24.95" customHeight="1" x14ac:dyDescent="0.25">
      <c r="A9" s="194" t="str">
        <f>RAB!A18</f>
        <v>II</v>
      </c>
      <c r="B9" s="195" t="str">
        <f>RAB!B18</f>
        <v>PEKERJAAN REHAB STRUKTUR</v>
      </c>
      <c r="C9" s="196"/>
      <c r="D9" s="197">
        <f>RAB!H38</f>
        <v>387988634.49329579</v>
      </c>
    </row>
    <row r="10" spans="1:4" ht="24.95" customHeight="1" x14ac:dyDescent="0.25">
      <c r="A10" s="194" t="str">
        <f>RAB!A39</f>
        <v>III</v>
      </c>
      <c r="B10" s="195" t="str">
        <f>RAB!B39</f>
        <v>PEKERJAAN PEMBUATAN LIFT BARANG</v>
      </c>
      <c r="C10" s="196"/>
      <c r="D10" s="197">
        <f>RAB!H56</f>
        <v>140054447.23529455</v>
      </c>
    </row>
    <row r="11" spans="1:4" ht="24.95" customHeight="1" x14ac:dyDescent="0.25">
      <c r="A11" s="194" t="str">
        <f>RAB!A57</f>
        <v>IV</v>
      </c>
      <c r="B11" s="195" t="str">
        <f>RAB!B57</f>
        <v>PEKERJAAN REHAB ARSITEKTUR</v>
      </c>
      <c r="C11" s="196"/>
      <c r="D11" s="197">
        <f>RAB!H87</f>
        <v>189783115.02999002</v>
      </c>
    </row>
    <row r="12" spans="1:4" ht="24.95" customHeight="1" x14ac:dyDescent="0.25">
      <c r="A12" s="194" t="str">
        <f>RAB!A88</f>
        <v>V</v>
      </c>
      <c r="B12" s="195" t="str">
        <f>RAB!B88</f>
        <v>PEKERJAAN PENAMBAHAN KAMAR MANDI</v>
      </c>
      <c r="C12" s="196"/>
      <c r="D12" s="197">
        <f>RAB!H136</f>
        <v>131729249.43583198</v>
      </c>
    </row>
    <row r="13" spans="1:4" ht="24.95" customHeight="1" x14ac:dyDescent="0.25">
      <c r="A13" s="194" t="str">
        <f>RAB!A137</f>
        <v>VI</v>
      </c>
      <c r="B13" s="195" t="str">
        <f>RAB!B137</f>
        <v>PEKERJAAN MEKANIKAL ELEKTRIKAL</v>
      </c>
      <c r="C13" s="196"/>
      <c r="D13" s="197">
        <f>RAB!H143</f>
        <v>15212418</v>
      </c>
    </row>
    <row r="14" spans="1:4" ht="24.95" customHeight="1" x14ac:dyDescent="0.25">
      <c r="A14" s="194" t="str">
        <f>RAB!A144</f>
        <v>VII</v>
      </c>
      <c r="B14" s="198" t="str">
        <f>RAB!B144</f>
        <v>PEKERJAAN AKHIR, DLL</v>
      </c>
      <c r="C14" s="199"/>
      <c r="D14" s="200">
        <f>RAB!H148</f>
        <v>400000</v>
      </c>
    </row>
    <row r="15" spans="1:4" ht="24.95" customHeight="1" x14ac:dyDescent="0.25">
      <c r="A15" s="201" t="str">
        <f>RAB!A149</f>
        <v>VIII</v>
      </c>
      <c r="B15" s="198" t="str">
        <f>RAB!B149</f>
        <v>FOTO DOKUMENTASI DAN PELAPORAN</v>
      </c>
      <c r="C15" s="199"/>
      <c r="D15" s="200">
        <f>RAB!H154</f>
        <v>3750000</v>
      </c>
    </row>
    <row r="16" spans="1:4" ht="24.95" customHeight="1" thickBot="1" x14ac:dyDescent="0.3">
      <c r="A16" s="201"/>
      <c r="B16" s="198"/>
      <c r="C16" s="199"/>
      <c r="D16" s="200"/>
    </row>
    <row r="17" spans="1:7" ht="24.95" customHeight="1" x14ac:dyDescent="0.25">
      <c r="A17" s="202"/>
      <c r="B17" s="203" t="s">
        <v>46</v>
      </c>
      <c r="C17" s="204"/>
      <c r="D17" s="205">
        <f>SUM(D8:D15)</f>
        <v>872097864.19441247</v>
      </c>
      <c r="E17" s="206"/>
    </row>
    <row r="18" spans="1:7" ht="24.95" customHeight="1" x14ac:dyDescent="0.25">
      <c r="A18" s="207"/>
      <c r="B18" s="195" t="s">
        <v>47</v>
      </c>
      <c r="C18" s="208">
        <v>0.11</v>
      </c>
      <c r="D18" s="209">
        <f>D17*C18</f>
        <v>95930765.061385378</v>
      </c>
    </row>
    <row r="19" spans="1:7" ht="24.95" customHeight="1" thickBot="1" x14ac:dyDescent="0.3">
      <c r="A19" s="210"/>
      <c r="B19" s="211" t="s">
        <v>48</v>
      </c>
      <c r="C19" s="212"/>
      <c r="D19" s="213">
        <f>SUM(D17:D18)</f>
        <v>968028629.25579786</v>
      </c>
      <c r="E19" s="206"/>
      <c r="F19" s="214"/>
    </row>
    <row r="20" spans="1:7" ht="24.95" customHeight="1" thickBot="1" x14ac:dyDescent="0.4">
      <c r="A20" s="215"/>
      <c r="B20" s="216" t="s">
        <v>54</v>
      </c>
      <c r="C20" s="217"/>
      <c r="D20" s="218">
        <f>ROUNDDOWN(D19,-5)</f>
        <v>968000000</v>
      </c>
      <c r="E20" s="219" t="s">
        <v>673</v>
      </c>
      <c r="F20" s="220">
        <v>968000000</v>
      </c>
      <c r="G20" s="221" t="s">
        <v>392</v>
      </c>
    </row>
    <row r="21" spans="1:7" ht="24.95" customHeight="1" thickBot="1" x14ac:dyDescent="0.3">
      <c r="A21" s="222"/>
      <c r="B21" s="223" t="s">
        <v>795</v>
      </c>
      <c r="C21" s="223"/>
      <c r="D21" s="224"/>
      <c r="E21" s="206"/>
      <c r="F21" s="214"/>
    </row>
    <row r="22" spans="1:7" ht="24.95" customHeight="1" thickTop="1" x14ac:dyDescent="0.25">
      <c r="D22" s="226"/>
      <c r="E22" s="206"/>
      <c r="F22" s="214"/>
    </row>
    <row r="23" spans="1:7" ht="24.95" customHeight="1" x14ac:dyDescent="0.25">
      <c r="A23" s="81"/>
      <c r="B23" s="81"/>
      <c r="C23" s="81"/>
      <c r="D23" s="83" t="s">
        <v>386</v>
      </c>
      <c r="E23" s="83"/>
      <c r="F23" s="227"/>
    </row>
    <row r="24" spans="1:7" ht="24.95" customHeight="1" x14ac:dyDescent="0.25">
      <c r="A24" s="462" t="s">
        <v>769</v>
      </c>
      <c r="B24" s="462"/>
      <c r="C24" s="82"/>
      <c r="D24" s="84" t="s">
        <v>770</v>
      </c>
      <c r="E24" s="84"/>
    </row>
    <row r="25" spans="1:7" ht="24.95" customHeight="1" x14ac:dyDescent="0.25">
      <c r="A25" s="462" t="s">
        <v>771</v>
      </c>
      <c r="B25" s="462"/>
      <c r="C25" s="82"/>
      <c r="D25" s="84" t="s">
        <v>772</v>
      </c>
      <c r="E25" s="84"/>
    </row>
    <row r="26" spans="1:7" ht="24.95" customHeight="1" x14ac:dyDescent="0.25">
      <c r="A26" s="81" t="s">
        <v>773</v>
      </c>
      <c r="B26" s="81"/>
      <c r="C26" s="82"/>
      <c r="D26" s="131" t="s">
        <v>774</v>
      </c>
      <c r="E26" s="84"/>
    </row>
    <row r="27" spans="1:7" ht="24.95" customHeight="1" x14ac:dyDescent="0.25">
      <c r="A27" s="84"/>
      <c r="B27" s="84"/>
      <c r="C27" s="84"/>
      <c r="D27" s="84"/>
      <c r="E27" s="84"/>
    </row>
    <row r="28" spans="1:7" ht="24.95" customHeight="1" x14ac:dyDescent="0.25">
      <c r="A28" s="84"/>
      <c r="B28" s="84"/>
      <c r="C28" s="84"/>
      <c r="D28" s="84"/>
      <c r="E28" s="84"/>
    </row>
    <row r="29" spans="1:7" ht="24.95" customHeight="1" x14ac:dyDescent="0.25">
      <c r="A29" s="82"/>
      <c r="B29" s="82"/>
      <c r="C29" s="82"/>
      <c r="D29" s="82"/>
      <c r="E29" s="82"/>
    </row>
    <row r="30" spans="1:7" ht="24.95" customHeight="1" x14ac:dyDescent="0.25">
      <c r="A30" s="461" t="s">
        <v>775</v>
      </c>
      <c r="B30" s="461"/>
      <c r="C30" s="85"/>
      <c r="D30" s="132" t="s">
        <v>776</v>
      </c>
      <c r="E30" s="86"/>
    </row>
    <row r="31" spans="1:7" ht="24.95" customHeight="1" x14ac:dyDescent="0.25">
      <c r="A31" s="462" t="s">
        <v>777</v>
      </c>
      <c r="B31" s="462"/>
      <c r="C31" s="82"/>
      <c r="D31" s="84" t="s">
        <v>778</v>
      </c>
      <c r="E31" s="84"/>
    </row>
    <row r="32" spans="1:7" ht="15.75" x14ac:dyDescent="0.25">
      <c r="A32" s="82"/>
      <c r="B32" s="82"/>
      <c r="C32" s="82"/>
      <c r="D32" s="82"/>
      <c r="E32" s="84"/>
    </row>
    <row r="33" spans="1:5" ht="15.75" x14ac:dyDescent="0.25">
      <c r="A33" s="82"/>
      <c r="B33" s="82"/>
      <c r="C33" s="84" t="s">
        <v>779</v>
      </c>
      <c r="D33" s="82"/>
      <c r="E33" s="82"/>
    </row>
    <row r="34" spans="1:5" ht="15.75" x14ac:dyDescent="0.25">
      <c r="A34" s="82"/>
      <c r="B34" s="82"/>
      <c r="C34" s="84" t="s">
        <v>780</v>
      </c>
      <c r="D34" s="82"/>
      <c r="E34" s="82"/>
    </row>
    <row r="35" spans="1:5" ht="15.75" x14ac:dyDescent="0.25">
      <c r="A35" s="82"/>
      <c r="B35" s="82"/>
      <c r="C35" s="84" t="s">
        <v>781</v>
      </c>
      <c r="D35" s="82"/>
      <c r="E35" s="82"/>
    </row>
    <row r="36" spans="1:5" ht="15.75" x14ac:dyDescent="0.25">
      <c r="A36" s="82"/>
      <c r="B36" s="82"/>
      <c r="C36" s="133" t="s">
        <v>782</v>
      </c>
      <c r="D36" s="82"/>
      <c r="E36" s="82"/>
    </row>
    <row r="37" spans="1:5" ht="15.75" x14ac:dyDescent="0.25">
      <c r="A37" s="82"/>
      <c r="B37" s="82"/>
      <c r="C37" s="84"/>
      <c r="D37" s="82"/>
      <c r="E37" s="82"/>
    </row>
    <row r="38" spans="1:5" ht="15.75" x14ac:dyDescent="0.25">
      <c r="A38" s="82"/>
      <c r="B38" s="82"/>
      <c r="C38" s="84"/>
      <c r="D38" s="82"/>
      <c r="E38" s="82"/>
    </row>
    <row r="39" spans="1:5" ht="15.75" x14ac:dyDescent="0.25">
      <c r="A39" s="85"/>
      <c r="B39" s="85"/>
      <c r="C39" s="86"/>
      <c r="D39" s="85"/>
      <c r="E39" s="85"/>
    </row>
    <row r="40" spans="1:5" ht="15.75" x14ac:dyDescent="0.25">
      <c r="A40" s="82"/>
      <c r="B40" s="82"/>
      <c r="C40" s="84"/>
      <c r="D40" s="82"/>
      <c r="E40" s="82"/>
    </row>
    <row r="41" spans="1:5" x14ac:dyDescent="0.25">
      <c r="C41" s="228"/>
    </row>
    <row r="42" spans="1:5" x14ac:dyDescent="0.25">
      <c r="C42" s="228"/>
    </row>
    <row r="43" spans="1:5" x14ac:dyDescent="0.25">
      <c r="C43" s="228"/>
    </row>
    <row r="44" spans="1:5" x14ac:dyDescent="0.25">
      <c r="C44" s="229" t="s">
        <v>783</v>
      </c>
    </row>
    <row r="45" spans="1:5" x14ac:dyDescent="0.25">
      <c r="C45" s="228" t="s">
        <v>784</v>
      </c>
    </row>
  </sheetData>
  <mergeCells count="11">
    <mergeCell ref="A30:B30"/>
    <mergeCell ref="A31:B31"/>
    <mergeCell ref="B7:C7"/>
    <mergeCell ref="A1:D1"/>
    <mergeCell ref="A4:D4"/>
    <mergeCell ref="A24:B24"/>
    <mergeCell ref="A25:B25"/>
    <mergeCell ref="A5:D5"/>
    <mergeCell ref="A6:D6"/>
    <mergeCell ref="A2:D2"/>
    <mergeCell ref="A3:D3"/>
  </mergeCells>
  <printOptions horizontalCentered="1"/>
  <pageMargins left="0.59055118110236227" right="0.39370078740157483" top="0.74803149606299213" bottom="0.35433070866141736" header="0.31496062992125984" footer="0.31496062992125984"/>
  <pageSetup paperSize="256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7"/>
  <sheetViews>
    <sheetView tabSelected="1" view="pageBreakPreview" topLeftCell="A124" zoomScaleNormal="100" zoomScaleSheetLayoutView="100" workbookViewId="0">
      <selection activeCell="E121" sqref="E121"/>
    </sheetView>
  </sheetViews>
  <sheetFormatPr defaultColWidth="8.85546875" defaultRowHeight="15" x14ac:dyDescent="0.25"/>
  <cols>
    <col min="1" max="1" width="3.42578125" style="135" customWidth="1"/>
    <col min="2" max="2" width="4" style="130" customWidth="1"/>
    <col min="3" max="3" width="48.28515625" style="135" customWidth="1"/>
    <col min="4" max="4" width="12" style="130" customWidth="1"/>
    <col min="5" max="5" width="8" style="130" customWidth="1"/>
    <col min="6" max="6" width="7.5703125" style="135" customWidth="1"/>
    <col min="7" max="8" width="14.28515625" style="190" customWidth="1"/>
    <col min="9" max="9" width="13.28515625" style="135" bestFit="1" customWidth="1"/>
    <col min="10" max="16384" width="8.85546875" style="135"/>
  </cols>
  <sheetData>
    <row r="1" spans="1:14" ht="22.5" customHeight="1" x14ac:dyDescent="0.3">
      <c r="A1" s="472" t="s">
        <v>788</v>
      </c>
      <c r="B1" s="472"/>
      <c r="C1" s="472"/>
      <c r="D1" s="472"/>
      <c r="E1" s="472"/>
      <c r="F1" s="472"/>
      <c r="G1" s="472"/>
      <c r="H1" s="472"/>
      <c r="I1" s="134"/>
      <c r="J1" s="134"/>
      <c r="K1" s="134"/>
      <c r="L1" s="134"/>
      <c r="M1" s="134"/>
      <c r="N1" s="134"/>
    </row>
    <row r="2" spans="1:14" ht="18" customHeight="1" x14ac:dyDescent="0.25">
      <c r="A2" s="473" t="str">
        <f>REKAP!A2</f>
        <v>Belanja Jasa Konsultasi Perencanaan Rekayasa - Jasa Nasihat dan Konsultasi</v>
      </c>
      <c r="B2" s="473"/>
      <c r="C2" s="473"/>
      <c r="D2" s="473"/>
      <c r="E2" s="473"/>
      <c r="F2" s="473"/>
      <c r="G2" s="473"/>
      <c r="H2" s="473"/>
      <c r="I2" s="134"/>
      <c r="J2" s="134"/>
      <c r="K2" s="134"/>
      <c r="L2" s="134"/>
      <c r="M2" s="134"/>
      <c r="N2" s="134"/>
    </row>
    <row r="3" spans="1:14" ht="18" customHeight="1" x14ac:dyDescent="0.25">
      <c r="A3" s="473" t="str">
        <f>REKAP!A3</f>
        <v>Jasa Rekayasa Konstruksi Renovasi Gudang Penyimpanan Benih</v>
      </c>
      <c r="B3" s="473"/>
      <c r="C3" s="473"/>
      <c r="D3" s="473"/>
      <c r="E3" s="473"/>
      <c r="F3" s="473"/>
      <c r="G3" s="473"/>
      <c r="H3" s="473"/>
      <c r="I3" s="134"/>
      <c r="J3" s="134"/>
      <c r="K3" s="134"/>
      <c r="L3" s="134"/>
      <c r="M3" s="134">
        <v>0.25</v>
      </c>
      <c r="N3" s="134"/>
    </row>
    <row r="4" spans="1:14" ht="16.899999999999999" customHeight="1" x14ac:dyDescent="0.25">
      <c r="A4" s="473" t="str">
        <f>REKAP!A4</f>
        <v>UPT Benih Induk Hortikultura Kutagadung (Dana DAK)</v>
      </c>
      <c r="B4" s="473"/>
      <c r="C4" s="473"/>
      <c r="D4" s="473"/>
      <c r="E4" s="473"/>
      <c r="F4" s="473"/>
      <c r="G4" s="473"/>
      <c r="H4" s="473"/>
      <c r="I4" s="134">
        <v>2.5000000000000001E-2</v>
      </c>
      <c r="J4" s="134">
        <v>8.0000000000000002E-3</v>
      </c>
      <c r="K4" s="134">
        <v>1.4E-2</v>
      </c>
      <c r="L4" s="134">
        <v>7</v>
      </c>
      <c r="M4" s="134">
        <f>(I4*2)+(J4*2)+(K4*L4)</f>
        <v>0.16400000000000001</v>
      </c>
      <c r="N4" s="134"/>
    </row>
    <row r="5" spans="1:14" ht="15.75" x14ac:dyDescent="0.25">
      <c r="A5" s="475" t="s">
        <v>307</v>
      </c>
      <c r="B5" s="475"/>
      <c r="C5" s="475"/>
      <c r="D5" s="475"/>
      <c r="E5" s="475"/>
      <c r="F5" s="475"/>
      <c r="G5" s="475"/>
      <c r="H5" s="475"/>
      <c r="I5" s="134"/>
      <c r="J5" s="134"/>
      <c r="K5" s="134"/>
      <c r="L5" s="134"/>
      <c r="M5" s="134">
        <f>M3-M4</f>
        <v>8.5999999999999993E-2</v>
      </c>
      <c r="N5" s="134"/>
    </row>
    <row r="6" spans="1:14" ht="10.15" customHeight="1" thickBot="1" x14ac:dyDescent="0.35">
      <c r="A6" s="136"/>
      <c r="B6" s="120"/>
      <c r="C6" s="136"/>
      <c r="D6" s="120"/>
      <c r="E6" s="120"/>
      <c r="F6" s="136"/>
      <c r="G6" s="137"/>
      <c r="H6" s="137"/>
      <c r="I6" s="134"/>
      <c r="J6" s="134"/>
      <c r="K6" s="134"/>
      <c r="L6" s="134"/>
      <c r="M6" s="134"/>
      <c r="N6" s="134"/>
    </row>
    <row r="7" spans="1:14" ht="45.75" customHeight="1" thickTop="1" thickBot="1" x14ac:dyDescent="0.3">
      <c r="A7" s="138" t="s">
        <v>24</v>
      </c>
      <c r="B7" s="474" t="s">
        <v>25</v>
      </c>
      <c r="C7" s="474"/>
      <c r="D7" s="121" t="s">
        <v>26</v>
      </c>
      <c r="E7" s="121" t="s">
        <v>305</v>
      </c>
      <c r="F7" s="121" t="s">
        <v>306</v>
      </c>
      <c r="G7" s="139" t="s">
        <v>28</v>
      </c>
      <c r="H7" s="140" t="s">
        <v>29</v>
      </c>
      <c r="I7" s="134"/>
      <c r="J7" s="134"/>
      <c r="K7" s="134"/>
      <c r="L7" s="134"/>
      <c r="M7" s="134"/>
      <c r="N7" s="134"/>
    </row>
    <row r="8" spans="1:14" ht="16.5" x14ac:dyDescent="0.3">
      <c r="A8" s="141" t="s">
        <v>323</v>
      </c>
      <c r="B8" s="142" t="s">
        <v>55</v>
      </c>
      <c r="C8" s="143"/>
      <c r="D8" s="122"/>
      <c r="E8" s="122"/>
      <c r="F8" s="144"/>
      <c r="G8" s="145"/>
      <c r="H8" s="146"/>
      <c r="I8" s="134"/>
      <c r="J8" s="134"/>
      <c r="K8" s="134"/>
      <c r="L8" s="134"/>
      <c r="M8" s="134"/>
      <c r="N8" s="134"/>
    </row>
    <row r="9" spans="1:14" ht="16.5" x14ac:dyDescent="0.3">
      <c r="A9" s="147"/>
      <c r="B9" s="148">
        <v>1</v>
      </c>
      <c r="C9" s="149" t="s">
        <v>679</v>
      </c>
      <c r="D9" s="150" t="s">
        <v>56</v>
      </c>
      <c r="E9" s="123">
        <v>1</v>
      </c>
      <c r="F9" s="123" t="s">
        <v>33</v>
      </c>
      <c r="G9" s="151">
        <v>350000</v>
      </c>
      <c r="H9" s="152">
        <f>E9*G9</f>
        <v>350000</v>
      </c>
      <c r="I9" s="134"/>
      <c r="J9" s="134"/>
      <c r="K9" s="134"/>
      <c r="L9" s="134"/>
      <c r="M9" s="134"/>
      <c r="N9" s="134"/>
    </row>
    <row r="10" spans="1:14" ht="16.5" x14ac:dyDescent="0.3">
      <c r="A10" s="153"/>
      <c r="B10" s="105">
        <f>B9+1</f>
        <v>2</v>
      </c>
      <c r="C10" s="157" t="s">
        <v>680</v>
      </c>
      <c r="D10" s="154" t="s">
        <v>56</v>
      </c>
      <c r="E10" s="124">
        <v>1</v>
      </c>
      <c r="F10" s="124" t="s">
        <v>33</v>
      </c>
      <c r="G10" s="155">
        <v>150000</v>
      </c>
      <c r="H10" s="156">
        <f>E10*G10</f>
        <v>150000</v>
      </c>
      <c r="I10" s="134"/>
      <c r="J10" s="134"/>
      <c r="K10" s="134"/>
      <c r="L10" s="134"/>
      <c r="M10" s="134"/>
      <c r="N10" s="134"/>
    </row>
    <row r="11" spans="1:14" ht="16.5" x14ac:dyDescent="0.3">
      <c r="A11" s="153"/>
      <c r="B11" s="105">
        <f t="shared" ref="B11:B14" si="0">B10+1</f>
        <v>3</v>
      </c>
      <c r="C11" s="157" t="s">
        <v>681</v>
      </c>
      <c r="D11" s="154" t="s">
        <v>56</v>
      </c>
      <c r="E11" s="124">
        <v>6</v>
      </c>
      <c r="F11" s="124" t="s">
        <v>33</v>
      </c>
      <c r="G11" s="155">
        <v>120000</v>
      </c>
      <c r="H11" s="156">
        <f>E11*G11</f>
        <v>720000</v>
      </c>
      <c r="I11" s="134"/>
      <c r="J11" s="134"/>
      <c r="K11" s="134"/>
      <c r="L11" s="134"/>
      <c r="M11" s="134"/>
      <c r="N11" s="134"/>
    </row>
    <row r="12" spans="1:14" ht="16.5" x14ac:dyDescent="0.3">
      <c r="A12" s="153"/>
      <c r="B12" s="105">
        <f t="shared" si="0"/>
        <v>4</v>
      </c>
      <c r="C12" s="157" t="s">
        <v>682</v>
      </c>
      <c r="D12" s="154" t="s">
        <v>56</v>
      </c>
      <c r="E12" s="124">
        <v>6</v>
      </c>
      <c r="F12" s="124" t="s">
        <v>33</v>
      </c>
      <c r="G12" s="155">
        <v>85000</v>
      </c>
      <c r="H12" s="156">
        <f t="shared" ref="H12:H15" si="1">E12*G12</f>
        <v>510000</v>
      </c>
      <c r="I12" s="134"/>
      <c r="J12" s="134"/>
      <c r="K12" s="134"/>
      <c r="L12" s="134"/>
      <c r="M12" s="134"/>
      <c r="N12" s="134"/>
    </row>
    <row r="13" spans="1:14" ht="16.5" x14ac:dyDescent="0.3">
      <c r="A13" s="153"/>
      <c r="B13" s="105">
        <f t="shared" si="0"/>
        <v>5</v>
      </c>
      <c r="C13" s="510" t="s">
        <v>683</v>
      </c>
      <c r="D13" s="154" t="s">
        <v>56</v>
      </c>
      <c r="E13" s="124">
        <v>6</v>
      </c>
      <c r="F13" s="124" t="s">
        <v>33</v>
      </c>
      <c r="G13" s="155">
        <v>150000</v>
      </c>
      <c r="H13" s="156">
        <f t="shared" si="1"/>
        <v>900000</v>
      </c>
      <c r="I13" s="134"/>
      <c r="J13" s="134"/>
      <c r="K13" s="134"/>
      <c r="L13" s="134"/>
      <c r="M13" s="134"/>
      <c r="N13" s="134"/>
    </row>
    <row r="14" spans="1:14" ht="16.5" x14ac:dyDescent="0.3">
      <c r="A14" s="153"/>
      <c r="B14" s="105">
        <f t="shared" si="0"/>
        <v>6</v>
      </c>
      <c r="C14" s="157" t="s">
        <v>684</v>
      </c>
      <c r="D14" s="154" t="s">
        <v>56</v>
      </c>
      <c r="E14" s="124">
        <v>6</v>
      </c>
      <c r="F14" s="124" t="s">
        <v>33</v>
      </c>
      <c r="G14" s="155">
        <v>50000</v>
      </c>
      <c r="H14" s="156">
        <f t="shared" si="1"/>
        <v>300000</v>
      </c>
      <c r="I14" s="134"/>
      <c r="J14" s="134"/>
      <c r="K14" s="134"/>
      <c r="L14" s="134"/>
      <c r="M14" s="134"/>
      <c r="N14" s="134"/>
    </row>
    <row r="15" spans="1:14" ht="16.5" x14ac:dyDescent="0.3">
      <c r="A15" s="153"/>
      <c r="B15" s="105">
        <f>B14+1</f>
        <v>7</v>
      </c>
      <c r="C15" s="157" t="s">
        <v>685</v>
      </c>
      <c r="D15" s="154" t="s">
        <v>56</v>
      </c>
      <c r="E15" s="124">
        <v>1</v>
      </c>
      <c r="F15" s="124" t="s">
        <v>33</v>
      </c>
      <c r="G15" s="155">
        <v>250000</v>
      </c>
      <c r="H15" s="156">
        <f t="shared" si="1"/>
        <v>250000</v>
      </c>
      <c r="I15" s="134"/>
      <c r="J15" s="134"/>
      <c r="K15" s="134"/>
      <c r="L15" s="134"/>
      <c r="M15" s="134"/>
      <c r="N15" s="134"/>
    </row>
    <row r="16" spans="1:14" ht="17.25" thickBot="1" x14ac:dyDescent="0.35">
      <c r="A16" s="153"/>
      <c r="B16" s="105"/>
      <c r="C16" s="157"/>
      <c r="D16" s="154"/>
      <c r="E16" s="124"/>
      <c r="F16" s="124"/>
      <c r="G16" s="155"/>
      <c r="H16" s="156"/>
      <c r="I16" s="134"/>
      <c r="J16" s="134"/>
      <c r="K16" s="134"/>
      <c r="L16" s="134"/>
      <c r="M16" s="134"/>
      <c r="N16" s="134"/>
    </row>
    <row r="17" spans="1:14" ht="17.25" thickBot="1" x14ac:dyDescent="0.35">
      <c r="A17" s="469" t="s">
        <v>380</v>
      </c>
      <c r="B17" s="470"/>
      <c r="C17" s="470"/>
      <c r="D17" s="470"/>
      <c r="E17" s="470"/>
      <c r="F17" s="470"/>
      <c r="G17" s="471"/>
      <c r="H17" s="158">
        <f>SUM(H9:H16)</f>
        <v>3180000</v>
      </c>
      <c r="I17" s="134"/>
      <c r="J17" s="134"/>
      <c r="K17" s="134"/>
      <c r="L17" s="134"/>
      <c r="M17" s="134"/>
      <c r="N17" s="134"/>
    </row>
    <row r="18" spans="1:14" ht="16.5" x14ac:dyDescent="0.3">
      <c r="A18" s="159" t="s">
        <v>324</v>
      </c>
      <c r="B18" s="160" t="s">
        <v>309</v>
      </c>
      <c r="C18" s="161"/>
      <c r="D18" s="125"/>
      <c r="E18" s="125"/>
      <c r="F18" s="162"/>
      <c r="G18" s="163"/>
      <c r="H18" s="164"/>
      <c r="I18" s="134"/>
      <c r="J18" s="134"/>
      <c r="K18" s="134"/>
      <c r="L18" s="134"/>
      <c r="M18" s="134"/>
      <c r="N18" s="134"/>
    </row>
    <row r="19" spans="1:14" ht="18" x14ac:dyDescent="0.3">
      <c r="A19" s="165"/>
      <c r="B19" s="105">
        <v>1</v>
      </c>
      <c r="C19" s="166" t="s">
        <v>317</v>
      </c>
      <c r="D19" s="105" t="str">
        <f>AHSP!A4</f>
        <v>A.2.2.1.13.</v>
      </c>
      <c r="E19" s="124">
        <f>BackUp_Data!I23</f>
        <v>13.0264896</v>
      </c>
      <c r="F19" s="105" t="s">
        <v>281</v>
      </c>
      <c r="G19" s="155">
        <f>AHSP!F19</f>
        <v>2049587.5</v>
      </c>
      <c r="H19" s="156">
        <f t="shared" ref="H19" si="2">E19*G19</f>
        <v>26698930.253040001</v>
      </c>
      <c r="I19" s="134"/>
      <c r="J19" s="134"/>
      <c r="K19" s="134"/>
      <c r="L19" s="134"/>
      <c r="M19" s="134"/>
      <c r="N19" s="134"/>
    </row>
    <row r="20" spans="1:14" ht="18" x14ac:dyDescent="0.3">
      <c r="A20" s="165"/>
      <c r="B20" s="105">
        <f>B19+1</f>
        <v>2</v>
      </c>
      <c r="C20" s="166" t="s">
        <v>319</v>
      </c>
      <c r="D20" s="105" t="str">
        <f>AHSP!A425</f>
        <v>A.4.4.1.25</v>
      </c>
      <c r="E20" s="124">
        <f>BackUp_Data!I28</f>
        <v>11.238599999999996</v>
      </c>
      <c r="F20" s="105" t="s">
        <v>256</v>
      </c>
      <c r="G20" s="155">
        <f>AHSP!F447</f>
        <v>816057.25</v>
      </c>
      <c r="H20" s="156">
        <f t="shared" ref="H20:H23" si="3">E20*G20</f>
        <v>9171341.0098499972</v>
      </c>
      <c r="I20" s="134"/>
      <c r="J20" s="134"/>
      <c r="K20" s="134"/>
      <c r="L20" s="134"/>
      <c r="M20" s="134"/>
      <c r="N20" s="134"/>
    </row>
    <row r="21" spans="1:14" ht="16.5" x14ac:dyDescent="0.3">
      <c r="A21" s="165"/>
      <c r="B21" s="105">
        <f t="shared" ref="B21:B36" si="4">B20+1</f>
        <v>3</v>
      </c>
      <c r="C21" s="166" t="s">
        <v>320</v>
      </c>
      <c r="D21" s="105" t="str">
        <f>AHSP!A167</f>
        <v>A.4.1.1.17</v>
      </c>
      <c r="E21" s="124">
        <f>Besi!F31</f>
        <v>497.59914719999995</v>
      </c>
      <c r="F21" s="105" t="s">
        <v>186</v>
      </c>
      <c r="G21" s="155">
        <f>AHSP!F186</f>
        <v>24772.15</v>
      </c>
      <c r="H21" s="156">
        <f t="shared" si="3"/>
        <v>12326600.71431048</v>
      </c>
      <c r="I21" s="134"/>
      <c r="J21" s="134"/>
      <c r="K21" s="134"/>
      <c r="L21" s="134"/>
      <c r="M21" s="134"/>
      <c r="N21" s="134"/>
    </row>
    <row r="22" spans="1:14" ht="18" x14ac:dyDescent="0.3">
      <c r="A22" s="165"/>
      <c r="B22" s="105">
        <f t="shared" si="4"/>
        <v>4</v>
      </c>
      <c r="C22" s="166" t="s">
        <v>713</v>
      </c>
      <c r="D22" s="105" t="str">
        <f>AHSP!A210</f>
        <v>A.4.1.1.7</v>
      </c>
      <c r="E22" s="124">
        <f>BackUp_Data!I60</f>
        <v>2.2122000000000002</v>
      </c>
      <c r="F22" s="105" t="s">
        <v>281</v>
      </c>
      <c r="G22" s="155">
        <f>AHSP!F230</f>
        <v>1638755.75</v>
      </c>
      <c r="H22" s="156">
        <f t="shared" si="3"/>
        <v>3625255.4701500004</v>
      </c>
      <c r="I22" s="134"/>
      <c r="J22" s="134"/>
      <c r="K22" s="134"/>
      <c r="L22" s="134"/>
      <c r="M22" s="134"/>
      <c r="N22" s="134"/>
    </row>
    <row r="23" spans="1:14" ht="18" x14ac:dyDescent="0.3">
      <c r="A23" s="165"/>
      <c r="B23" s="105">
        <f t="shared" si="4"/>
        <v>5</v>
      </c>
      <c r="C23" s="166" t="s">
        <v>728</v>
      </c>
      <c r="D23" s="105" t="str">
        <f>AHSP!A145</f>
        <v>A.4.1.1.4</v>
      </c>
      <c r="E23" s="124">
        <f>1.3*1.2*0.1</f>
        <v>0.15600000000000003</v>
      </c>
      <c r="F23" s="105" t="s">
        <v>281</v>
      </c>
      <c r="G23" s="155">
        <f>AHSP!F165</f>
        <v>1255041</v>
      </c>
      <c r="H23" s="156">
        <f t="shared" si="3"/>
        <v>195786.39600000004</v>
      </c>
      <c r="I23" s="134"/>
      <c r="J23" s="134"/>
      <c r="K23" s="134"/>
      <c r="L23" s="134"/>
      <c r="M23" s="134"/>
      <c r="N23" s="134"/>
    </row>
    <row r="24" spans="1:14" ht="18" x14ac:dyDescent="0.3">
      <c r="A24" s="165"/>
      <c r="B24" s="105">
        <f t="shared" si="4"/>
        <v>6</v>
      </c>
      <c r="C24" s="166" t="s">
        <v>321</v>
      </c>
      <c r="D24" s="105" t="str">
        <f>AHSP!A401</f>
        <v>A.4.4.1.24</v>
      </c>
      <c r="E24" s="124">
        <f>BackUp_Data!I34</f>
        <v>72.46350000000001</v>
      </c>
      <c r="F24" s="105" t="s">
        <v>256</v>
      </c>
      <c r="G24" s="155">
        <f>AHSP!F423</f>
        <v>1429064.75</v>
      </c>
      <c r="H24" s="156">
        <f t="shared" ref="H24:H36" si="5">E24*G24</f>
        <v>103555033.51162502</v>
      </c>
      <c r="I24" s="134"/>
      <c r="J24" s="134"/>
      <c r="K24" s="134"/>
      <c r="L24" s="134"/>
      <c r="M24" s="134"/>
      <c r="N24" s="134"/>
    </row>
    <row r="25" spans="1:14" ht="16.5" x14ac:dyDescent="0.3">
      <c r="A25" s="165"/>
      <c r="B25" s="105">
        <f t="shared" si="4"/>
        <v>7</v>
      </c>
      <c r="C25" s="166" t="s">
        <v>322</v>
      </c>
      <c r="D25" s="105" t="str">
        <f>AHSP!A167</f>
        <v>A.4.1.1.17</v>
      </c>
      <c r="E25" s="167">
        <f>Besi!F17</f>
        <v>1731.1499712000002</v>
      </c>
      <c r="F25" s="105" t="s">
        <v>186</v>
      </c>
      <c r="G25" s="155">
        <f>AHSP!F186</f>
        <v>24772.15</v>
      </c>
      <c r="H25" s="156">
        <f t="shared" si="5"/>
        <v>42884306.759062089</v>
      </c>
      <c r="I25" s="134"/>
      <c r="J25" s="134"/>
      <c r="K25" s="134"/>
      <c r="L25" s="134"/>
      <c r="M25" s="134"/>
      <c r="N25" s="134"/>
    </row>
    <row r="26" spans="1:14" ht="18" x14ac:dyDescent="0.3">
      <c r="A26" s="165"/>
      <c r="B26" s="105">
        <f t="shared" si="4"/>
        <v>8</v>
      </c>
      <c r="C26" s="166" t="s">
        <v>714</v>
      </c>
      <c r="D26" s="105" t="str">
        <f>AHSP!A210</f>
        <v>A.4.1.1.7</v>
      </c>
      <c r="E26" s="124">
        <f>BackUp_Data!I62</f>
        <v>10.869525000000001</v>
      </c>
      <c r="F26" s="105" t="s">
        <v>281</v>
      </c>
      <c r="G26" s="155">
        <f>AHSP!F230</f>
        <v>1638755.75</v>
      </c>
      <c r="H26" s="156">
        <f t="shared" si="5"/>
        <v>17812496.593518753</v>
      </c>
    </row>
    <row r="27" spans="1:14" ht="18" x14ac:dyDescent="0.3">
      <c r="A27" s="165"/>
      <c r="B27" s="105">
        <f t="shared" si="4"/>
        <v>9</v>
      </c>
      <c r="C27" s="166" t="s">
        <v>339</v>
      </c>
      <c r="D27" s="105" t="str">
        <f>AHSP!A376</f>
        <v>A.4.4.1.23</v>
      </c>
      <c r="E27" s="124">
        <f>BackUp_Data!I44</f>
        <v>89.450000000000017</v>
      </c>
      <c r="F27" s="105" t="s">
        <v>256</v>
      </c>
      <c r="G27" s="155">
        <f>AHSP!F398</f>
        <v>934334.75</v>
      </c>
      <c r="H27" s="156">
        <f t="shared" si="5"/>
        <v>83576243.387500018</v>
      </c>
    </row>
    <row r="28" spans="1:14" ht="16.5" x14ac:dyDescent="0.3">
      <c r="A28" s="165"/>
      <c r="B28" s="105">
        <f t="shared" si="4"/>
        <v>10</v>
      </c>
      <c r="C28" s="166" t="s">
        <v>340</v>
      </c>
      <c r="D28" s="105" t="str">
        <f>AHSP!A167</f>
        <v>A.4.1.1.17</v>
      </c>
      <c r="E28" s="124">
        <f>Besi!F60</f>
        <v>1283.9771666701297</v>
      </c>
      <c r="F28" s="105" t="s">
        <v>186</v>
      </c>
      <c r="G28" s="155">
        <f>AHSP!F186</f>
        <v>24772.15</v>
      </c>
      <c r="H28" s="156">
        <f t="shared" si="5"/>
        <v>31806874.969327454</v>
      </c>
    </row>
    <row r="29" spans="1:14" ht="18" x14ac:dyDescent="0.3">
      <c r="A29" s="165"/>
      <c r="B29" s="105">
        <f t="shared" si="4"/>
        <v>11</v>
      </c>
      <c r="C29" s="166" t="s">
        <v>715</v>
      </c>
      <c r="D29" s="105" t="str">
        <f>AHSP!A210</f>
        <v>A.4.1.1.7</v>
      </c>
      <c r="E29" s="124">
        <f>BackUp_Data!I72</f>
        <v>7.4460000000000006</v>
      </c>
      <c r="F29" s="105" t="s">
        <v>281</v>
      </c>
      <c r="G29" s="155">
        <f>AHSP!F230</f>
        <v>1638755.75</v>
      </c>
      <c r="H29" s="156">
        <f t="shared" si="5"/>
        <v>12202175.3145</v>
      </c>
    </row>
    <row r="30" spans="1:14" ht="16.5" x14ac:dyDescent="0.3">
      <c r="A30" s="165"/>
      <c r="B30" s="105">
        <f t="shared" si="4"/>
        <v>12</v>
      </c>
      <c r="C30" s="166" t="s">
        <v>789</v>
      </c>
      <c r="D30" s="105" t="s">
        <v>427</v>
      </c>
      <c r="E30" s="124">
        <v>12</v>
      </c>
      <c r="F30" s="105" t="s">
        <v>428</v>
      </c>
      <c r="G30" s="155">
        <f>'HARGA BAHAN'!E4</f>
        <v>125000</v>
      </c>
      <c r="H30" s="156">
        <f t="shared" si="5"/>
        <v>1500000</v>
      </c>
    </row>
    <row r="31" spans="1:14" ht="16.5" x14ac:dyDescent="0.3">
      <c r="A31" s="165"/>
      <c r="B31" s="105">
        <f t="shared" si="4"/>
        <v>13</v>
      </c>
      <c r="C31" s="511" t="s">
        <v>686</v>
      </c>
      <c r="D31" s="105" t="s">
        <v>33</v>
      </c>
      <c r="E31" s="124">
        <v>1</v>
      </c>
      <c r="F31" s="105" t="s">
        <v>33</v>
      </c>
      <c r="G31" s="155">
        <v>1200000</v>
      </c>
      <c r="H31" s="156">
        <f t="shared" ref="H31" si="6">E31*G31</f>
        <v>1200000</v>
      </c>
    </row>
    <row r="32" spans="1:14" ht="18" x14ac:dyDescent="0.3">
      <c r="A32" s="165"/>
      <c r="B32" s="105">
        <f t="shared" si="4"/>
        <v>14</v>
      </c>
      <c r="C32" s="166" t="s">
        <v>727</v>
      </c>
      <c r="D32" s="105" t="str">
        <f>AHSP!A21</f>
        <v>A.2.3.1.1</v>
      </c>
      <c r="E32" s="124">
        <f>(0.2*0.475*1)*12</f>
        <v>1.1400000000000001</v>
      </c>
      <c r="F32" s="105" t="s">
        <v>281</v>
      </c>
      <c r="G32" s="155">
        <f>AHSP!F44</f>
        <v>141970</v>
      </c>
      <c r="H32" s="156">
        <f t="shared" si="5"/>
        <v>161845.80000000002</v>
      </c>
    </row>
    <row r="33" spans="1:8" ht="18" x14ac:dyDescent="0.3">
      <c r="A33" s="165"/>
      <c r="B33" s="105">
        <f t="shared" si="4"/>
        <v>15</v>
      </c>
      <c r="C33" s="166" t="s">
        <v>429</v>
      </c>
      <c r="D33" s="105" t="str">
        <f>AHSP!A351</f>
        <v>A.4.4.1.22</v>
      </c>
      <c r="E33" s="124">
        <f>BackUp_Data!I52</f>
        <v>47.1</v>
      </c>
      <c r="F33" s="105" t="s">
        <v>256</v>
      </c>
      <c r="G33" s="155">
        <f>AHSP!F374</f>
        <v>454919.875</v>
      </c>
      <c r="H33" s="156">
        <f t="shared" si="5"/>
        <v>21426726.112500001</v>
      </c>
    </row>
    <row r="34" spans="1:8" ht="16.5" x14ac:dyDescent="0.3">
      <c r="A34" s="165"/>
      <c r="B34" s="105">
        <f t="shared" si="4"/>
        <v>16</v>
      </c>
      <c r="C34" s="166" t="s">
        <v>431</v>
      </c>
      <c r="D34" s="105" t="str">
        <f>AHSP!A167</f>
        <v>A.4.1.1.17</v>
      </c>
      <c r="E34" s="124">
        <f>Besi!F76</f>
        <v>599.42932080000003</v>
      </c>
      <c r="F34" s="105" t="s">
        <v>186</v>
      </c>
      <c r="G34" s="155">
        <f>AHSP!F186</f>
        <v>24772.15</v>
      </c>
      <c r="H34" s="156">
        <f t="shared" si="5"/>
        <v>14849153.049255721</v>
      </c>
    </row>
    <row r="35" spans="1:8" ht="18" x14ac:dyDescent="0.3">
      <c r="A35" s="165"/>
      <c r="B35" s="105">
        <f t="shared" si="4"/>
        <v>17</v>
      </c>
      <c r="C35" s="511" t="s">
        <v>716</v>
      </c>
      <c r="D35" s="105" t="str">
        <f>AHSP!A210</f>
        <v>A.4.1.1.7</v>
      </c>
      <c r="E35" s="124">
        <f>BackUp_Data!I80</f>
        <v>2.4993750000000006</v>
      </c>
      <c r="F35" s="105" t="s">
        <v>281</v>
      </c>
      <c r="G35" s="155">
        <f>AHSP!F230</f>
        <v>1638755.75</v>
      </c>
      <c r="H35" s="156">
        <f t="shared" si="5"/>
        <v>4095865.1526562511</v>
      </c>
    </row>
    <row r="36" spans="1:8" ht="16.5" x14ac:dyDescent="0.3">
      <c r="A36" s="165"/>
      <c r="B36" s="105">
        <f t="shared" si="4"/>
        <v>18</v>
      </c>
      <c r="C36" s="166" t="s">
        <v>708</v>
      </c>
      <c r="D36" s="105" t="s">
        <v>33</v>
      </c>
      <c r="E36" s="124">
        <v>3</v>
      </c>
      <c r="F36" s="105" t="s">
        <v>709</v>
      </c>
      <c r="G36" s="155">
        <v>300000</v>
      </c>
      <c r="H36" s="156">
        <f t="shared" si="5"/>
        <v>900000</v>
      </c>
    </row>
    <row r="37" spans="1:8" ht="17.25" thickBot="1" x14ac:dyDescent="0.35">
      <c r="A37" s="165"/>
      <c r="B37" s="105"/>
      <c r="C37" s="168" t="s">
        <v>723</v>
      </c>
      <c r="D37" s="105"/>
      <c r="E37" s="124"/>
      <c r="F37" s="124"/>
      <c r="G37" s="155"/>
      <c r="H37" s="156"/>
    </row>
    <row r="38" spans="1:8" ht="17.25" thickBot="1" x14ac:dyDescent="0.35">
      <c r="A38" s="469" t="s">
        <v>381</v>
      </c>
      <c r="B38" s="470"/>
      <c r="C38" s="470"/>
      <c r="D38" s="470"/>
      <c r="E38" s="470"/>
      <c r="F38" s="470"/>
      <c r="G38" s="471"/>
      <c r="H38" s="169">
        <f>SUM(H19:H37)</f>
        <v>387988634.49329579</v>
      </c>
    </row>
    <row r="39" spans="1:8" ht="17.25" thickTop="1" x14ac:dyDescent="0.3">
      <c r="A39" s="170" t="s">
        <v>360</v>
      </c>
      <c r="B39" s="171" t="s">
        <v>725</v>
      </c>
      <c r="C39" s="172"/>
      <c r="D39" s="126"/>
      <c r="E39" s="126"/>
      <c r="F39" s="173"/>
      <c r="G39" s="174"/>
      <c r="H39" s="175"/>
    </row>
    <row r="40" spans="1:8" ht="18" x14ac:dyDescent="0.3">
      <c r="A40" s="165"/>
      <c r="B40" s="106">
        <v>1</v>
      </c>
      <c r="C40" s="176" t="s">
        <v>724</v>
      </c>
      <c r="D40" s="106" t="str">
        <f>AHSP!A21</f>
        <v>A.2.3.1.1</v>
      </c>
      <c r="E40" s="127">
        <f>BackUp_Data!I84</f>
        <v>8.6939999999999991</v>
      </c>
      <c r="F40" s="106" t="s">
        <v>281</v>
      </c>
      <c r="G40" s="177">
        <f>AHSP!F44</f>
        <v>141970</v>
      </c>
      <c r="H40" s="178">
        <f t="shared" ref="H40:H53" si="7">E40*G40</f>
        <v>1234287.18</v>
      </c>
    </row>
    <row r="41" spans="1:8" ht="18" x14ac:dyDescent="0.3">
      <c r="A41" s="165"/>
      <c r="B41" s="106">
        <f>B40+1</f>
        <v>2</v>
      </c>
      <c r="C41" s="176" t="s">
        <v>730</v>
      </c>
      <c r="D41" s="106" t="str">
        <f>AHSP!A145</f>
        <v>A.4.1.1.4</v>
      </c>
      <c r="E41" s="127">
        <f>BackUp_Data!I86</f>
        <v>0.75600000000000001</v>
      </c>
      <c r="F41" s="105" t="s">
        <v>281</v>
      </c>
      <c r="G41" s="177">
        <f>AHSP!F165</f>
        <v>1255041</v>
      </c>
      <c r="H41" s="156">
        <f t="shared" si="7"/>
        <v>948810.99600000004</v>
      </c>
    </row>
    <row r="42" spans="1:8" ht="18" x14ac:dyDescent="0.3">
      <c r="A42" s="165"/>
      <c r="B42" s="105">
        <f>B41+1</f>
        <v>3</v>
      </c>
      <c r="C42" s="176" t="s">
        <v>731</v>
      </c>
      <c r="D42" s="106" t="str">
        <f>AHSP!A253</f>
        <v>A.2.3.1.14</v>
      </c>
      <c r="E42" s="127">
        <f>BackUp_Data!I88</f>
        <v>2.9095</v>
      </c>
      <c r="F42" s="106" t="s">
        <v>281</v>
      </c>
      <c r="G42" s="155">
        <f>AHSP!F268</f>
        <v>351468.75</v>
      </c>
      <c r="H42" s="156">
        <f t="shared" si="7"/>
        <v>1022598.328125</v>
      </c>
    </row>
    <row r="43" spans="1:8" ht="18" x14ac:dyDescent="0.3">
      <c r="A43" s="165"/>
      <c r="B43" s="105">
        <f t="shared" ref="B43:B52" si="8">B42+1</f>
        <v>4</v>
      </c>
      <c r="C43" s="176" t="s">
        <v>733</v>
      </c>
      <c r="D43" s="106" t="str">
        <f>AHSP!A145</f>
        <v>A.4.1.1.4</v>
      </c>
      <c r="E43" s="127">
        <f>BackUp_Data!I90</f>
        <v>0.47609999999999991</v>
      </c>
      <c r="F43" s="106" t="s">
        <v>281</v>
      </c>
      <c r="G43" s="155">
        <f>AHSP!F165</f>
        <v>1255041</v>
      </c>
      <c r="H43" s="156">
        <f t="shared" si="7"/>
        <v>597525.02009999985</v>
      </c>
    </row>
    <row r="44" spans="1:8" ht="18" x14ac:dyDescent="0.3">
      <c r="A44" s="165"/>
      <c r="B44" s="105">
        <f t="shared" si="8"/>
        <v>5</v>
      </c>
      <c r="C44" s="166" t="s">
        <v>735</v>
      </c>
      <c r="D44" s="106" t="str">
        <f>AHSP!A210</f>
        <v>A.4.1.1.7</v>
      </c>
      <c r="E44" s="127">
        <f>BackUp_Data!I92</f>
        <v>0.79349999999999987</v>
      </c>
      <c r="F44" s="106" t="s">
        <v>281</v>
      </c>
      <c r="G44" s="177">
        <f>AHSP!F230</f>
        <v>1638755.75</v>
      </c>
      <c r="H44" s="178">
        <f t="shared" si="7"/>
        <v>1300352.6876249998</v>
      </c>
    </row>
    <row r="45" spans="1:8" ht="18" x14ac:dyDescent="0.3">
      <c r="A45" s="165"/>
      <c r="B45" s="105">
        <f t="shared" si="8"/>
        <v>6</v>
      </c>
      <c r="C45" s="512" t="s">
        <v>737</v>
      </c>
      <c r="D45" s="106" t="str">
        <f>AHSP!A210</f>
        <v>A.4.1.1.7</v>
      </c>
      <c r="E45" s="127">
        <f>BackUp_Data!I94</f>
        <v>2.028</v>
      </c>
      <c r="F45" s="106" t="s">
        <v>281</v>
      </c>
      <c r="G45" s="177">
        <f>AHSP!F230</f>
        <v>1638755.75</v>
      </c>
      <c r="H45" s="178">
        <f t="shared" si="7"/>
        <v>3323396.6609999998</v>
      </c>
    </row>
    <row r="46" spans="1:8" ht="16.5" x14ac:dyDescent="0.3">
      <c r="A46" s="165"/>
      <c r="B46" s="105">
        <f>B45+1</f>
        <v>7</v>
      </c>
      <c r="C46" s="176" t="s">
        <v>739</v>
      </c>
      <c r="D46" s="105" t="str">
        <f>AHSP!A167</f>
        <v>A.4.1.1.17</v>
      </c>
      <c r="E46" s="124">
        <f>Besi!F132</f>
        <v>295.02570719999994</v>
      </c>
      <c r="F46" s="106" t="s">
        <v>186</v>
      </c>
      <c r="G46" s="155">
        <f>AHSP!F186</f>
        <v>24772.15</v>
      </c>
      <c r="H46" s="156">
        <f t="shared" si="7"/>
        <v>7308421.0726144789</v>
      </c>
    </row>
    <row r="47" spans="1:8" ht="18" x14ac:dyDescent="0.3">
      <c r="A47" s="165"/>
      <c r="B47" s="105">
        <f t="shared" si="8"/>
        <v>8</v>
      </c>
      <c r="C47" s="176" t="s">
        <v>742</v>
      </c>
      <c r="D47" s="106" t="str">
        <f>AHSP!A351</f>
        <v>A.4.4.1.22</v>
      </c>
      <c r="E47" s="124">
        <f>BackUp_Data!I96</f>
        <v>2.976</v>
      </c>
      <c r="F47" s="106" t="s">
        <v>256</v>
      </c>
      <c r="G47" s="155">
        <f>AHSP!F374</f>
        <v>454919.875</v>
      </c>
      <c r="H47" s="178">
        <f t="shared" si="7"/>
        <v>1353841.548</v>
      </c>
    </row>
    <row r="48" spans="1:8" ht="16.5" x14ac:dyDescent="0.3">
      <c r="A48" s="165"/>
      <c r="B48" s="105">
        <f t="shared" si="8"/>
        <v>9</v>
      </c>
      <c r="C48" s="166" t="s">
        <v>746</v>
      </c>
      <c r="D48" s="106" t="str">
        <f>AHSP!A167</f>
        <v>A.4.1.1.17</v>
      </c>
      <c r="E48" s="124">
        <f>Besi!F146</f>
        <v>82.137014399999984</v>
      </c>
      <c r="F48" s="106" t="s">
        <v>186</v>
      </c>
      <c r="G48" s="155">
        <f>AHSP!F186</f>
        <v>24772.15</v>
      </c>
      <c r="H48" s="178">
        <f t="shared" si="7"/>
        <v>2034710.4412689598</v>
      </c>
    </row>
    <row r="49" spans="1:8" ht="18" x14ac:dyDescent="0.3">
      <c r="A49" s="165"/>
      <c r="B49" s="105">
        <f t="shared" si="8"/>
        <v>10</v>
      </c>
      <c r="C49" s="511" t="s">
        <v>744</v>
      </c>
      <c r="D49" s="106" t="str">
        <f>AHSP!A210</f>
        <v>A.4.1.1.7</v>
      </c>
      <c r="E49" s="124">
        <f>BackUp_Data!I98</f>
        <v>0.22319999999999998</v>
      </c>
      <c r="F49" s="106" t="s">
        <v>281</v>
      </c>
      <c r="G49" s="155">
        <f>AHSP!F230</f>
        <v>1638755.75</v>
      </c>
      <c r="H49" s="156">
        <f t="shared" si="7"/>
        <v>365770.28339999996</v>
      </c>
    </row>
    <row r="50" spans="1:8" ht="16.5" x14ac:dyDescent="0.3">
      <c r="A50" s="165"/>
      <c r="B50" s="105">
        <f t="shared" si="8"/>
        <v>11</v>
      </c>
      <c r="C50" s="166" t="s">
        <v>757</v>
      </c>
      <c r="D50" s="118" t="str">
        <f>AHSP!A449</f>
        <v>A.4.2.1.2. +</v>
      </c>
      <c r="E50" s="128">
        <f>BackUp_Data!I102</f>
        <v>52.57555555555556</v>
      </c>
      <c r="F50" s="106" t="s">
        <v>186</v>
      </c>
      <c r="G50" s="179">
        <f>AHSP!F469</f>
        <v>45593.1875</v>
      </c>
      <c r="H50" s="156">
        <f t="shared" si="7"/>
        <v>2397087.1623611115</v>
      </c>
    </row>
    <row r="51" spans="1:8" ht="16.5" x14ac:dyDescent="0.3">
      <c r="A51" s="165"/>
      <c r="B51" s="105">
        <f t="shared" si="8"/>
        <v>12</v>
      </c>
      <c r="C51" s="166" t="s">
        <v>758</v>
      </c>
      <c r="D51" s="118" t="str">
        <f>AHSP!A449</f>
        <v>A.4.2.1.2. +</v>
      </c>
      <c r="E51" s="128">
        <f>BackUp_Data!I106</f>
        <v>629.88</v>
      </c>
      <c r="F51" s="106" t="s">
        <v>186</v>
      </c>
      <c r="G51" s="179">
        <f>AHSP!F469</f>
        <v>45593.1875</v>
      </c>
      <c r="H51" s="156">
        <f t="shared" si="7"/>
        <v>28718236.942499999</v>
      </c>
    </row>
    <row r="52" spans="1:8" ht="16.5" x14ac:dyDescent="0.3">
      <c r="A52" s="165"/>
      <c r="B52" s="105">
        <f t="shared" si="8"/>
        <v>13</v>
      </c>
      <c r="C52" s="166" t="s">
        <v>760</v>
      </c>
      <c r="D52" s="118" t="str">
        <f>AHSP!A449</f>
        <v>A.4.2.1.2. +</v>
      </c>
      <c r="E52" s="128">
        <f>BackUp_Data!I110</f>
        <v>715.4448000000001</v>
      </c>
      <c r="F52" s="106" t="s">
        <v>186</v>
      </c>
      <c r="G52" s="179">
        <f>AHSP!F469</f>
        <v>45593.1875</v>
      </c>
      <c r="H52" s="156">
        <f t="shared" si="7"/>
        <v>32619408.912300006</v>
      </c>
    </row>
    <row r="53" spans="1:8" ht="16.5" x14ac:dyDescent="0.3">
      <c r="A53" s="165"/>
      <c r="B53" s="105">
        <f>B52+1</f>
        <v>14</v>
      </c>
      <c r="C53" s="166" t="s">
        <v>790</v>
      </c>
      <c r="D53" s="118" t="s">
        <v>33</v>
      </c>
      <c r="E53" s="128">
        <v>1</v>
      </c>
      <c r="F53" s="106" t="s">
        <v>766</v>
      </c>
      <c r="G53" s="179">
        <v>980000</v>
      </c>
      <c r="H53" s="156">
        <f t="shared" si="7"/>
        <v>980000</v>
      </c>
    </row>
    <row r="54" spans="1:8" ht="16.5" x14ac:dyDescent="0.3">
      <c r="A54" s="165"/>
      <c r="B54" s="105">
        <f>B53+1</f>
        <v>15</v>
      </c>
      <c r="C54" s="513" t="s">
        <v>762</v>
      </c>
      <c r="D54" s="118" t="s">
        <v>33</v>
      </c>
      <c r="E54" s="128">
        <v>1</v>
      </c>
      <c r="F54" s="106" t="s">
        <v>206</v>
      </c>
      <c r="G54" s="179">
        <v>55850000</v>
      </c>
      <c r="H54" s="156">
        <f t="shared" ref="H54" si="9">E54*G54</f>
        <v>55850000</v>
      </c>
    </row>
    <row r="55" spans="1:8" ht="17.25" thickBot="1" x14ac:dyDescent="0.35">
      <c r="A55" s="165"/>
      <c r="B55" s="105"/>
      <c r="C55" s="166" t="s">
        <v>768</v>
      </c>
      <c r="D55" s="118"/>
      <c r="E55" s="128"/>
      <c r="F55" s="106"/>
      <c r="G55" s="179"/>
      <c r="H55" s="156"/>
    </row>
    <row r="56" spans="1:8" ht="17.25" thickBot="1" x14ac:dyDescent="0.35">
      <c r="A56" s="469" t="s">
        <v>382</v>
      </c>
      <c r="B56" s="470"/>
      <c r="C56" s="470"/>
      <c r="D56" s="470"/>
      <c r="E56" s="470"/>
      <c r="F56" s="470"/>
      <c r="G56" s="471"/>
      <c r="H56" s="158">
        <f>SUM(H40:H55)</f>
        <v>140054447.23529455</v>
      </c>
    </row>
    <row r="57" spans="1:8" ht="17.25" thickTop="1" x14ac:dyDescent="0.3">
      <c r="A57" s="170" t="s">
        <v>375</v>
      </c>
      <c r="B57" s="171" t="s">
        <v>361</v>
      </c>
      <c r="C57" s="172"/>
      <c r="D57" s="126"/>
      <c r="E57" s="126"/>
      <c r="F57" s="173"/>
      <c r="G57" s="174"/>
      <c r="H57" s="175"/>
    </row>
    <row r="58" spans="1:8" ht="18" x14ac:dyDescent="0.3">
      <c r="A58" s="165"/>
      <c r="B58" s="106">
        <v>1</v>
      </c>
      <c r="C58" s="176" t="s">
        <v>362</v>
      </c>
      <c r="D58" s="106" t="str">
        <f>AHSP!A145</f>
        <v>A.4.1.1.4</v>
      </c>
      <c r="E58" s="127">
        <f>BackUp_Data!I115</f>
        <v>7.0344750000000014</v>
      </c>
      <c r="F58" s="106" t="s">
        <v>281</v>
      </c>
      <c r="G58" s="177">
        <f>AHSP!F165</f>
        <v>1255041</v>
      </c>
      <c r="H58" s="178">
        <f t="shared" ref="H58:H61" si="10">E58*G58</f>
        <v>8828554.5384750012</v>
      </c>
    </row>
    <row r="59" spans="1:8" ht="18" x14ac:dyDescent="0.3">
      <c r="A59" s="165"/>
      <c r="B59" s="106">
        <f>B58+1</f>
        <v>2</v>
      </c>
      <c r="C59" s="176" t="s">
        <v>663</v>
      </c>
      <c r="D59" s="106" t="str">
        <f>AHSP!A253</f>
        <v>A.2.3.1.14</v>
      </c>
      <c r="E59" s="127">
        <f>BackUp_Data!I118</f>
        <v>4.0197000000000003</v>
      </c>
      <c r="F59" s="105" t="s">
        <v>281</v>
      </c>
      <c r="G59" s="177">
        <f>AHSP!F268</f>
        <v>351468.75</v>
      </c>
      <c r="H59" s="156">
        <f t="shared" si="10"/>
        <v>1412798.9343750002</v>
      </c>
    </row>
    <row r="60" spans="1:8" ht="18" x14ac:dyDescent="0.3">
      <c r="A60" s="165"/>
      <c r="B60" s="105">
        <f>B59+1</f>
        <v>3</v>
      </c>
      <c r="C60" s="176" t="s">
        <v>365</v>
      </c>
      <c r="D60" s="106" t="str">
        <f>AHSP!A55</f>
        <v>Hitung 3</v>
      </c>
      <c r="E60" s="127">
        <f>BackUp_Data!I122</f>
        <v>174.35639999999995</v>
      </c>
      <c r="F60" s="106" t="s">
        <v>256</v>
      </c>
      <c r="G60" s="155">
        <f>AHSP!F70</f>
        <v>9775</v>
      </c>
      <c r="H60" s="156">
        <f t="shared" si="10"/>
        <v>1704333.8099999996</v>
      </c>
    </row>
    <row r="61" spans="1:8" ht="18" x14ac:dyDescent="0.3">
      <c r="A61" s="165"/>
      <c r="B61" s="105">
        <f t="shared" ref="B61:B85" si="11">B60+1</f>
        <v>4</v>
      </c>
      <c r="C61" s="176" t="s">
        <v>368</v>
      </c>
      <c r="D61" s="106" t="str">
        <f>AHSP!A72</f>
        <v>Hitung 4</v>
      </c>
      <c r="E61" s="127">
        <f>BackUp_Data!I125</f>
        <v>53.575999999999993</v>
      </c>
      <c r="F61" s="106" t="s">
        <v>424</v>
      </c>
      <c r="G61" s="155">
        <f>AHSP!F86</f>
        <v>4312.5</v>
      </c>
      <c r="H61" s="156">
        <f t="shared" si="10"/>
        <v>231046.49999999997</v>
      </c>
    </row>
    <row r="62" spans="1:8" ht="18" x14ac:dyDescent="0.3">
      <c r="A62" s="165"/>
      <c r="B62" s="105">
        <f t="shared" si="11"/>
        <v>5</v>
      </c>
      <c r="C62" s="176" t="s">
        <v>660</v>
      </c>
      <c r="D62" s="106" t="str">
        <f>AHSP!A595</f>
        <v>Taksir.2.pc</v>
      </c>
      <c r="E62" s="127">
        <f>E60</f>
        <v>174.35639999999995</v>
      </c>
      <c r="F62" s="106" t="s">
        <v>256</v>
      </c>
      <c r="G62" s="177">
        <f>AHSP!F613</f>
        <v>292226.49999999994</v>
      </c>
      <c r="H62" s="178">
        <f t="shared" ref="H62:H67" si="12">E62*G62</f>
        <v>50951560.524599977</v>
      </c>
    </row>
    <row r="63" spans="1:8" ht="18" x14ac:dyDescent="0.3">
      <c r="A63" s="165"/>
      <c r="B63" s="105">
        <f t="shared" si="11"/>
        <v>6</v>
      </c>
      <c r="C63" s="514" t="s">
        <v>674</v>
      </c>
      <c r="D63" s="106" t="str">
        <f>AHSP!A821</f>
        <v>A.4.5.2.36.nob</v>
      </c>
      <c r="E63" s="127">
        <f>8+1+1</f>
        <v>10</v>
      </c>
      <c r="F63" s="106" t="s">
        <v>424</v>
      </c>
      <c r="G63" s="177">
        <f>AHSP!F839</f>
        <v>247221.25</v>
      </c>
      <c r="H63" s="178">
        <f t="shared" si="12"/>
        <v>2472212.5</v>
      </c>
    </row>
    <row r="64" spans="1:8" ht="18" x14ac:dyDescent="0.3">
      <c r="A64" s="165"/>
      <c r="B64" s="105">
        <f>B63+1</f>
        <v>7</v>
      </c>
      <c r="C64" s="176" t="s">
        <v>672</v>
      </c>
      <c r="D64" s="105" t="s">
        <v>670</v>
      </c>
      <c r="E64" s="124">
        <f>E61</f>
        <v>53.575999999999993</v>
      </c>
      <c r="F64" s="106" t="s">
        <v>424</v>
      </c>
      <c r="G64" s="155">
        <v>87158.5</v>
      </c>
      <c r="H64" s="156">
        <f t="shared" si="12"/>
        <v>4669603.7959999992</v>
      </c>
    </row>
    <row r="65" spans="1:9" ht="18" x14ac:dyDescent="0.3">
      <c r="A65" s="165"/>
      <c r="B65" s="105">
        <f t="shared" si="11"/>
        <v>8</v>
      </c>
      <c r="C65" s="176" t="s">
        <v>671</v>
      </c>
      <c r="D65" s="106" t="str">
        <f>AHSP!A941</f>
        <v>A.4.7.1.4</v>
      </c>
      <c r="E65" s="124">
        <f>(E64*0.2)*2</f>
        <v>21.430399999999999</v>
      </c>
      <c r="F65" s="106" t="s">
        <v>256</v>
      </c>
      <c r="G65" s="155">
        <f>AHSP!F963</f>
        <v>73145</v>
      </c>
      <c r="H65" s="178">
        <f t="shared" si="12"/>
        <v>1567526.608</v>
      </c>
    </row>
    <row r="66" spans="1:9" ht="18" x14ac:dyDescent="0.3">
      <c r="A66" s="165"/>
      <c r="B66" s="105">
        <f t="shared" si="11"/>
        <v>9</v>
      </c>
      <c r="C66" s="513" t="s">
        <v>814</v>
      </c>
      <c r="D66" s="106" t="str">
        <f>AHSP!A595</f>
        <v>Taksir.2.pc</v>
      </c>
      <c r="E66" s="124">
        <f>BackUp_Data!I128</f>
        <v>5.0750000000000002</v>
      </c>
      <c r="F66" s="106" t="s">
        <v>256</v>
      </c>
      <c r="G66" s="155">
        <f>AHSP!F613</f>
        <v>292226.49999999994</v>
      </c>
      <c r="H66" s="156">
        <f t="shared" si="12"/>
        <v>1483049.4874999998</v>
      </c>
    </row>
    <row r="67" spans="1:9" ht="18" x14ac:dyDescent="0.3">
      <c r="A67" s="165"/>
      <c r="B67" s="105">
        <f t="shared" si="11"/>
        <v>10</v>
      </c>
      <c r="C67" s="166" t="s">
        <v>372</v>
      </c>
      <c r="D67" s="118" t="str">
        <f>AHSP!A921</f>
        <v>A.4.7.1.11</v>
      </c>
      <c r="E67" s="128">
        <f>BackUp_Data!I141</f>
        <v>425.36224999999996</v>
      </c>
      <c r="F67" s="106" t="s">
        <v>256</v>
      </c>
      <c r="G67" s="179">
        <f>AHSP!F939</f>
        <v>27302.15</v>
      </c>
      <c r="H67" s="156">
        <f t="shared" si="12"/>
        <v>11613303.953837499</v>
      </c>
    </row>
    <row r="68" spans="1:9" ht="16.5" x14ac:dyDescent="0.3">
      <c r="A68" s="165"/>
      <c r="B68" s="105">
        <f t="shared" si="11"/>
        <v>11</v>
      </c>
      <c r="C68" s="166" t="s">
        <v>419</v>
      </c>
      <c r="D68" s="118"/>
      <c r="E68" s="128"/>
      <c r="F68" s="106"/>
      <c r="G68" s="179"/>
      <c r="H68" s="156"/>
    </row>
    <row r="69" spans="1:9" ht="18" x14ac:dyDescent="0.3">
      <c r="A69" s="165"/>
      <c r="B69" s="105"/>
      <c r="C69" s="166" t="s">
        <v>422</v>
      </c>
      <c r="D69" s="118" t="str">
        <f>AHSP!A634</f>
        <v>Taksir.2.pnt</v>
      </c>
      <c r="E69" s="128">
        <f>BackUp_Data!I168</f>
        <v>101.94749999999999</v>
      </c>
      <c r="F69" s="106" t="s">
        <v>256</v>
      </c>
      <c r="G69" s="179">
        <f>AHSP!F651</f>
        <v>44461.875</v>
      </c>
      <c r="H69" s="156">
        <f t="shared" ref="H69:H72" si="13">E69*G69</f>
        <v>4532777.0015624994</v>
      </c>
    </row>
    <row r="70" spans="1:9" ht="18" x14ac:dyDescent="0.3">
      <c r="A70" s="165"/>
      <c r="B70" s="105"/>
      <c r="C70" s="166" t="s">
        <v>433</v>
      </c>
      <c r="D70" s="118" t="s">
        <v>420</v>
      </c>
      <c r="E70" s="128">
        <f>BackUp_Data!I171</f>
        <v>95.8</v>
      </c>
      <c r="F70" s="106" t="s">
        <v>424</v>
      </c>
      <c r="G70" s="179">
        <f>'HARGA BAHAN'!E25*1.35</f>
        <v>18427.5</v>
      </c>
      <c r="H70" s="156">
        <f t="shared" si="13"/>
        <v>1765354.5</v>
      </c>
    </row>
    <row r="71" spans="1:9" ht="18" x14ac:dyDescent="0.3">
      <c r="A71" s="165"/>
      <c r="B71" s="105"/>
      <c r="C71" s="166" t="s">
        <v>426</v>
      </c>
      <c r="D71" s="118" t="s">
        <v>420</v>
      </c>
      <c r="E71" s="128">
        <f>BackUp_Data!I174</f>
        <v>73.400000000000006</v>
      </c>
      <c r="F71" s="106" t="s">
        <v>424</v>
      </c>
      <c r="G71" s="179">
        <f>'HARGA BAHAN'!E24*1.35</f>
        <v>32778</v>
      </c>
      <c r="H71" s="156">
        <f t="shared" si="13"/>
        <v>2405905.2000000002</v>
      </c>
    </row>
    <row r="72" spans="1:9" ht="16.5" x14ac:dyDescent="0.3">
      <c r="A72" s="165"/>
      <c r="B72" s="105"/>
      <c r="C72" s="513" t="s">
        <v>767</v>
      </c>
      <c r="D72" s="118" t="s">
        <v>33</v>
      </c>
      <c r="E72" s="128">
        <v>4</v>
      </c>
      <c r="F72" s="106" t="s">
        <v>206</v>
      </c>
      <c r="G72" s="179">
        <v>398000</v>
      </c>
      <c r="H72" s="156">
        <f t="shared" si="13"/>
        <v>1592000</v>
      </c>
      <c r="I72" s="181"/>
    </row>
    <row r="73" spans="1:9" ht="16.5" x14ac:dyDescent="0.3">
      <c r="A73" s="165"/>
      <c r="B73" s="105">
        <f>B68+1</f>
        <v>12</v>
      </c>
      <c r="C73" s="166" t="s">
        <v>627</v>
      </c>
      <c r="D73" s="118"/>
      <c r="E73" s="128"/>
      <c r="F73" s="106"/>
      <c r="G73" s="179"/>
      <c r="H73" s="156"/>
    </row>
    <row r="74" spans="1:9" ht="18" x14ac:dyDescent="0.3">
      <c r="A74" s="165"/>
      <c r="B74" s="105"/>
      <c r="C74" s="166" t="s">
        <v>628</v>
      </c>
      <c r="D74" s="118" t="str">
        <f>AHSP!A1160</f>
        <v>Taksir.Ps05</v>
      </c>
      <c r="E74" s="128">
        <f>BackUp_Data!I178</f>
        <v>52.68</v>
      </c>
      <c r="F74" s="106" t="s">
        <v>424</v>
      </c>
      <c r="G74" s="179">
        <f>AHSP!F1178</f>
        <v>59279.625</v>
      </c>
      <c r="H74" s="156">
        <f t="shared" ref="H74" si="14">E74*G74</f>
        <v>3122850.645</v>
      </c>
    </row>
    <row r="75" spans="1:9" ht="18" x14ac:dyDescent="0.3">
      <c r="A75" s="165"/>
      <c r="B75" s="105"/>
      <c r="C75" s="166" t="s">
        <v>632</v>
      </c>
      <c r="D75" s="118" t="str">
        <f>AHSP!A1139</f>
        <v>Taksir.Ps1</v>
      </c>
      <c r="E75" s="128">
        <f>BackUp_Data!I181</f>
        <v>20.86</v>
      </c>
      <c r="F75" s="106" t="s">
        <v>424</v>
      </c>
      <c r="G75" s="179">
        <f>AHSP!F1158</f>
        <v>100619.25</v>
      </c>
      <c r="H75" s="156">
        <f t="shared" ref="H75" si="15">E75*G75</f>
        <v>2098917.5550000002</v>
      </c>
    </row>
    <row r="76" spans="1:9" ht="18" x14ac:dyDescent="0.3">
      <c r="A76" s="165"/>
      <c r="B76" s="105"/>
      <c r="C76" s="166" t="s">
        <v>635</v>
      </c>
      <c r="D76" s="118" t="str">
        <f>AHSP!A1180</f>
        <v>Taksir.Ps25</v>
      </c>
      <c r="E76" s="128">
        <f>BackUp_Data!I185</f>
        <v>40.06</v>
      </c>
      <c r="F76" s="106" t="s">
        <v>424</v>
      </c>
      <c r="G76" s="179">
        <f>AHSP!F1199</f>
        <v>238619.25</v>
      </c>
      <c r="H76" s="156">
        <f t="shared" ref="H76:H77" si="16">E76*G76</f>
        <v>9559087.1550000012</v>
      </c>
    </row>
    <row r="77" spans="1:9" ht="16.5" x14ac:dyDescent="0.3">
      <c r="A77" s="165"/>
      <c r="B77" s="105">
        <f>B73+1</f>
        <v>13</v>
      </c>
      <c r="C77" s="513" t="s">
        <v>763</v>
      </c>
      <c r="D77" s="118" t="s">
        <v>33</v>
      </c>
      <c r="E77" s="128">
        <v>1</v>
      </c>
      <c r="F77" s="106" t="s">
        <v>33</v>
      </c>
      <c r="G77" s="179">
        <v>1500000</v>
      </c>
      <c r="H77" s="156">
        <f t="shared" si="16"/>
        <v>1500000</v>
      </c>
    </row>
    <row r="78" spans="1:9" ht="18" x14ac:dyDescent="0.3">
      <c r="A78" s="165"/>
      <c r="B78" s="105">
        <f>B77+1</f>
        <v>14</v>
      </c>
      <c r="C78" s="166" t="s">
        <v>636</v>
      </c>
      <c r="D78" s="118" t="str">
        <f>AHSP!A941</f>
        <v>A.4.7.1.4</v>
      </c>
      <c r="E78" s="128">
        <f>BackUp_Data!I144</f>
        <v>10.902000000000001</v>
      </c>
      <c r="F78" s="106" t="s">
        <v>256</v>
      </c>
      <c r="G78" s="179">
        <f>AHSP!F963</f>
        <v>73145</v>
      </c>
      <c r="H78" s="156">
        <f t="shared" ref="H78:H83" si="17">E78*G78</f>
        <v>797426.79</v>
      </c>
    </row>
    <row r="79" spans="1:9" ht="18" x14ac:dyDescent="0.3">
      <c r="A79" s="165"/>
      <c r="B79" s="105">
        <f t="shared" si="11"/>
        <v>15</v>
      </c>
      <c r="C79" s="166" t="s">
        <v>791</v>
      </c>
      <c r="D79" s="118" t="str">
        <f>AHSP!A615</f>
        <v>Taksir.2.isn</v>
      </c>
      <c r="E79" s="128">
        <f>BackUp_Data!I131</f>
        <v>7.6800000000000015</v>
      </c>
      <c r="F79" s="106" t="s">
        <v>256</v>
      </c>
      <c r="G79" s="179">
        <f>AHSP!F632</f>
        <v>45430.75</v>
      </c>
      <c r="H79" s="156">
        <f t="shared" si="17"/>
        <v>348908.16000000009</v>
      </c>
    </row>
    <row r="80" spans="1:9" ht="18" x14ac:dyDescent="0.3">
      <c r="A80" s="165"/>
      <c r="B80" s="105">
        <f t="shared" si="11"/>
        <v>16</v>
      </c>
      <c r="C80" s="180" t="s">
        <v>815</v>
      </c>
      <c r="D80" s="118" t="str">
        <f>AHSP!A713</f>
        <v>Hitung 2.bp</v>
      </c>
      <c r="E80" s="128">
        <f>BackUp_Data!I134</f>
        <v>47.400000000000006</v>
      </c>
      <c r="F80" s="106" t="s">
        <v>424</v>
      </c>
      <c r="G80" s="179">
        <f>AHSP!F731</f>
        <v>65751.25</v>
      </c>
      <c r="H80" s="156">
        <f t="shared" ref="H80" si="18">E80*G80</f>
        <v>3116609.2500000005</v>
      </c>
    </row>
    <row r="81" spans="1:8" ht="18" x14ac:dyDescent="0.3">
      <c r="A81" s="165"/>
      <c r="B81" s="105">
        <f t="shared" si="11"/>
        <v>17</v>
      </c>
      <c r="C81" s="166" t="s">
        <v>396</v>
      </c>
      <c r="D81" s="118" t="str">
        <f>AHSP!A755</f>
        <v>A. 4.4.3.34a</v>
      </c>
      <c r="E81" s="128">
        <f>BackUp_Data!I148</f>
        <v>100.49250000000001</v>
      </c>
      <c r="F81" s="106" t="s">
        <v>256</v>
      </c>
      <c r="G81" s="179">
        <f>AHSP!F775</f>
        <v>323120.56000000006</v>
      </c>
      <c r="H81" s="156">
        <f t="shared" si="17"/>
        <v>32471192.875800006</v>
      </c>
    </row>
    <row r="82" spans="1:8" ht="18" x14ac:dyDescent="0.3">
      <c r="A82" s="165"/>
      <c r="B82" s="105">
        <f t="shared" si="11"/>
        <v>18</v>
      </c>
      <c r="C82" s="166" t="s">
        <v>397</v>
      </c>
      <c r="D82" s="118" t="str">
        <f>AHSP!A755</f>
        <v>A. 4.4.3.34a</v>
      </c>
      <c r="E82" s="128">
        <f>BackUp_Data!I153</f>
        <v>92.269499999999994</v>
      </c>
      <c r="F82" s="106" t="s">
        <v>256</v>
      </c>
      <c r="G82" s="179">
        <f>AHSP!F775</f>
        <v>323120.56000000006</v>
      </c>
      <c r="H82" s="156">
        <f t="shared" si="17"/>
        <v>29814172.510920003</v>
      </c>
    </row>
    <row r="83" spans="1:8" ht="18" x14ac:dyDescent="0.3">
      <c r="A83" s="165"/>
      <c r="B83" s="105">
        <f t="shared" si="11"/>
        <v>19</v>
      </c>
      <c r="C83" s="166" t="s">
        <v>398</v>
      </c>
      <c r="D83" s="118" t="s">
        <v>188</v>
      </c>
      <c r="E83" s="128">
        <f>BackUp_Data!I156</f>
        <v>12.731999999999999</v>
      </c>
      <c r="F83" s="106" t="s">
        <v>256</v>
      </c>
      <c r="G83" s="179">
        <f>AHSP!F775</f>
        <v>323120.56000000006</v>
      </c>
      <c r="H83" s="156">
        <f t="shared" si="17"/>
        <v>4113970.9699200005</v>
      </c>
    </row>
    <row r="84" spans="1:8" ht="18" x14ac:dyDescent="0.3">
      <c r="A84" s="165"/>
      <c r="B84" s="105">
        <f t="shared" si="11"/>
        <v>20</v>
      </c>
      <c r="C84" s="166" t="s">
        <v>792</v>
      </c>
      <c r="D84" s="118" t="str">
        <f>AHSP!A515</f>
        <v>A.4.2.1.22.01.hs</v>
      </c>
      <c r="E84" s="128">
        <f>BackUp_Data!I159</f>
        <v>4.32</v>
      </c>
      <c r="F84" s="106" t="s">
        <v>256</v>
      </c>
      <c r="G84" s="179">
        <f>AHSP!F534</f>
        <v>1165247.2749999999</v>
      </c>
      <c r="H84" s="156">
        <f t="shared" ref="H84:H85" si="19">E84*G84</f>
        <v>5033868.2280000001</v>
      </c>
    </row>
    <row r="85" spans="1:8" ht="18" x14ac:dyDescent="0.3">
      <c r="A85" s="165"/>
      <c r="B85" s="105">
        <f t="shared" si="11"/>
        <v>21</v>
      </c>
      <c r="C85" s="166" t="s">
        <v>793</v>
      </c>
      <c r="D85" s="106" t="s">
        <v>370</v>
      </c>
      <c r="E85" s="128">
        <f>BackUp_Data!I162</f>
        <v>5.0919999999999996</v>
      </c>
      <c r="F85" s="106" t="s">
        <v>256</v>
      </c>
      <c r="G85" s="179">
        <f>AHSP!F593*5</f>
        <v>505908</v>
      </c>
      <c r="H85" s="156">
        <f t="shared" si="19"/>
        <v>2576083.5359999998</v>
      </c>
    </row>
    <row r="86" spans="1:8" ht="17.25" thickBot="1" x14ac:dyDescent="0.35">
      <c r="A86" s="165"/>
      <c r="B86" s="105"/>
      <c r="C86" s="166"/>
      <c r="D86" s="107"/>
      <c r="E86" s="128"/>
      <c r="F86" s="106"/>
      <c r="G86" s="179"/>
      <c r="H86" s="156"/>
    </row>
    <row r="87" spans="1:8" ht="17.25" thickBot="1" x14ac:dyDescent="0.35">
      <c r="A87" s="469" t="s">
        <v>383</v>
      </c>
      <c r="B87" s="470"/>
      <c r="C87" s="470"/>
      <c r="D87" s="470"/>
      <c r="E87" s="470"/>
      <c r="F87" s="470"/>
      <c r="G87" s="471"/>
      <c r="H87" s="158">
        <f>SUM(H58:H86)</f>
        <v>189783115.02999002</v>
      </c>
    </row>
    <row r="88" spans="1:8" ht="17.25" thickTop="1" x14ac:dyDescent="0.3">
      <c r="A88" s="170" t="s">
        <v>384</v>
      </c>
      <c r="B88" s="171" t="s">
        <v>434</v>
      </c>
      <c r="C88" s="172"/>
      <c r="D88" s="126"/>
      <c r="E88" s="126"/>
      <c r="F88" s="173"/>
      <c r="G88" s="174"/>
      <c r="H88" s="175"/>
    </row>
    <row r="89" spans="1:8" ht="18" x14ac:dyDescent="0.3">
      <c r="A89" s="165"/>
      <c r="B89" s="106">
        <v>1</v>
      </c>
      <c r="C89" s="176" t="s">
        <v>437</v>
      </c>
      <c r="D89" s="106" t="str">
        <f>AHSP!A105</f>
        <v>A.2.2.1.13.a</v>
      </c>
      <c r="E89" s="127">
        <f>BackUp_Data!I188</f>
        <v>0.27</v>
      </c>
      <c r="F89" s="106" t="s">
        <v>281</v>
      </c>
      <c r="G89" s="177">
        <f>AHSP!F120</f>
        <v>307625</v>
      </c>
      <c r="H89" s="178">
        <f t="shared" ref="H89:H118" si="20">E89*G89</f>
        <v>83058.75</v>
      </c>
    </row>
    <row r="90" spans="1:8" ht="18" x14ac:dyDescent="0.3">
      <c r="A90" s="165"/>
      <c r="B90" s="105">
        <f>B89+1</f>
        <v>2</v>
      </c>
      <c r="C90" s="176" t="s">
        <v>445</v>
      </c>
      <c r="D90" s="105" t="str">
        <f>AHSP!A536</f>
        <v>A.4.4.2.4</v>
      </c>
      <c r="E90" s="124">
        <f>BackUp_Data!I191</f>
        <v>0.73499999999999999</v>
      </c>
      <c r="F90" s="105" t="s">
        <v>256</v>
      </c>
      <c r="G90" s="155">
        <f>AHSP!F554</f>
        <v>110716.25</v>
      </c>
      <c r="H90" s="156">
        <f t="shared" si="20"/>
        <v>81376.443749999991</v>
      </c>
    </row>
    <row r="91" spans="1:8" ht="18" x14ac:dyDescent="0.3">
      <c r="A91" s="165"/>
      <c r="B91" s="105">
        <f t="shared" ref="B91:B132" si="21">B90+1</f>
        <v>3</v>
      </c>
      <c r="C91" s="176" t="s">
        <v>446</v>
      </c>
      <c r="D91" s="105" t="str">
        <f>AHSP!A556</f>
        <v>A.4.4.2.27</v>
      </c>
      <c r="E91" s="124">
        <f>BackUp_Data!I191</f>
        <v>0.73499999999999999</v>
      </c>
      <c r="F91" s="105" t="s">
        <v>256</v>
      </c>
      <c r="G91" s="155">
        <f>AHSP!F573</f>
        <v>58707.5</v>
      </c>
      <c r="H91" s="156">
        <f t="shared" si="20"/>
        <v>43150.012499999997</v>
      </c>
    </row>
    <row r="92" spans="1:8" ht="18" x14ac:dyDescent="0.3">
      <c r="A92" s="165"/>
      <c r="B92" s="105">
        <f t="shared" si="21"/>
        <v>4</v>
      </c>
      <c r="C92" s="176" t="s">
        <v>448</v>
      </c>
      <c r="D92" s="105" t="str">
        <f>AHSP!A21</f>
        <v>A.2.3.1.1</v>
      </c>
      <c r="E92" s="124">
        <f>BackUp_Data!I194</f>
        <v>13.798749999999998</v>
      </c>
      <c r="F92" s="105" t="s">
        <v>281</v>
      </c>
      <c r="G92" s="155">
        <f>AHSP!F36</f>
        <v>112412.5</v>
      </c>
      <c r="H92" s="156">
        <f t="shared" si="20"/>
        <v>1551151.9843749998</v>
      </c>
    </row>
    <row r="93" spans="1:8" ht="18" x14ac:dyDescent="0.3">
      <c r="A93" s="165"/>
      <c r="B93" s="105">
        <f t="shared" si="21"/>
        <v>5</v>
      </c>
      <c r="C93" s="182" t="s">
        <v>449</v>
      </c>
      <c r="D93" s="105" t="str">
        <f>AHSP!A145</f>
        <v>A.4.1.1.4</v>
      </c>
      <c r="E93" s="124">
        <f>BackUp_Data!I197</f>
        <v>0.72624999999999995</v>
      </c>
      <c r="F93" s="105" t="s">
        <v>281</v>
      </c>
      <c r="G93" s="155">
        <f>AHSP!F165</f>
        <v>1255041</v>
      </c>
      <c r="H93" s="156">
        <f t="shared" si="20"/>
        <v>911473.52625</v>
      </c>
    </row>
    <row r="94" spans="1:8" ht="18" x14ac:dyDescent="0.3">
      <c r="A94" s="165"/>
      <c r="B94" s="105">
        <f t="shared" si="21"/>
        <v>6</v>
      </c>
      <c r="C94" s="182" t="s">
        <v>451</v>
      </c>
      <c r="D94" s="105" t="str">
        <f>AHSP!A124</f>
        <v>A.3.2.1.6.</v>
      </c>
      <c r="E94" s="124">
        <f>BackUp_Data!I200</f>
        <v>5.6024999999999991</v>
      </c>
      <c r="F94" s="105" t="s">
        <v>281</v>
      </c>
      <c r="G94" s="155">
        <f>AHSP!F143</f>
        <v>1317353.75</v>
      </c>
      <c r="H94" s="156">
        <f t="shared" si="20"/>
        <v>7380474.3843749985</v>
      </c>
    </row>
    <row r="95" spans="1:8" ht="18" x14ac:dyDescent="0.3">
      <c r="A95" s="165"/>
      <c r="B95" s="105">
        <f t="shared" si="21"/>
        <v>7</v>
      </c>
      <c r="C95" s="182" t="s">
        <v>460</v>
      </c>
      <c r="D95" s="105" t="str">
        <f>AHSP!A329</f>
        <v>A.4.4.1.21</v>
      </c>
      <c r="E95" s="124">
        <f>BackUp_Data!I203</f>
        <v>10.375</v>
      </c>
      <c r="F95" s="105" t="s">
        <v>256</v>
      </c>
      <c r="G95" s="155">
        <f>AHSP!F349</f>
        <v>206758.5</v>
      </c>
      <c r="H95" s="156">
        <f t="shared" si="20"/>
        <v>2145119.4375</v>
      </c>
    </row>
    <row r="96" spans="1:8" ht="16.5" x14ac:dyDescent="0.3">
      <c r="A96" s="165"/>
      <c r="B96" s="105">
        <f t="shared" si="21"/>
        <v>8</v>
      </c>
      <c r="C96" s="182" t="s">
        <v>463</v>
      </c>
      <c r="D96" s="105" t="str">
        <f>AHSP!A167</f>
        <v>A.4.1.1.17</v>
      </c>
      <c r="E96" s="124">
        <f>Besi!F90</f>
        <v>158.557894</v>
      </c>
      <c r="F96" s="105" t="s">
        <v>186</v>
      </c>
      <c r="G96" s="155">
        <f>AHSP!F186</f>
        <v>24772.15</v>
      </c>
      <c r="H96" s="156">
        <f t="shared" si="20"/>
        <v>3927819.9338521003</v>
      </c>
    </row>
    <row r="97" spans="1:8" ht="18" x14ac:dyDescent="0.3">
      <c r="A97" s="165"/>
      <c r="B97" s="105">
        <f t="shared" si="21"/>
        <v>9</v>
      </c>
      <c r="C97" s="182" t="s">
        <v>462</v>
      </c>
      <c r="D97" s="105" t="str">
        <f>AHSP!A188</f>
        <v>A.4.1.1.7a</v>
      </c>
      <c r="E97" s="124">
        <f>BackUp_Data!I206</f>
        <v>1.0375000000000001</v>
      </c>
      <c r="F97" s="105" t="s">
        <v>281</v>
      </c>
      <c r="G97" s="155">
        <f>AHSP!F208</f>
        <v>1608855.75</v>
      </c>
      <c r="H97" s="156">
        <f t="shared" si="20"/>
        <v>1669187.8406250002</v>
      </c>
    </row>
    <row r="98" spans="1:8" ht="18" x14ac:dyDescent="0.3">
      <c r="A98" s="165"/>
      <c r="B98" s="105">
        <f>B97+1</f>
        <v>10</v>
      </c>
      <c r="C98" s="182" t="s">
        <v>469</v>
      </c>
      <c r="D98" s="105" t="str">
        <f>AHSP!A351</f>
        <v>A.4.4.1.22</v>
      </c>
      <c r="E98" s="124">
        <f>BackUp_Data!I209</f>
        <v>4.3819999999999997</v>
      </c>
      <c r="F98" s="105" t="s">
        <v>281</v>
      </c>
      <c r="G98" s="155">
        <f>AHSP!F374</f>
        <v>454919.875</v>
      </c>
      <c r="H98" s="156">
        <f t="shared" si="20"/>
        <v>1993458.8922499998</v>
      </c>
    </row>
    <row r="99" spans="1:8" ht="16.5" x14ac:dyDescent="0.3">
      <c r="A99" s="165"/>
      <c r="B99" s="105">
        <f t="shared" si="21"/>
        <v>11</v>
      </c>
      <c r="C99" s="182" t="s">
        <v>471</v>
      </c>
      <c r="D99" s="105" t="str">
        <f>AHSP!A167</f>
        <v>A.4.1.1.17</v>
      </c>
      <c r="E99" s="124">
        <f>Besi!F104</f>
        <v>99.644808959999992</v>
      </c>
      <c r="F99" s="105" t="s">
        <v>186</v>
      </c>
      <c r="G99" s="155">
        <f>AHSP!F186</f>
        <v>24772.15</v>
      </c>
      <c r="H99" s="156">
        <f t="shared" si="20"/>
        <v>2468416.1542784641</v>
      </c>
    </row>
    <row r="100" spans="1:8" ht="18" x14ac:dyDescent="0.3">
      <c r="A100" s="165"/>
      <c r="B100" s="105">
        <f t="shared" si="21"/>
        <v>12</v>
      </c>
      <c r="C100" s="182" t="s">
        <v>472</v>
      </c>
      <c r="D100" s="105" t="str">
        <f>AHSP!A188</f>
        <v>A.4.1.1.7a</v>
      </c>
      <c r="E100" s="124">
        <f>BackUp_Data!I212</f>
        <v>0.21910000000000007</v>
      </c>
      <c r="F100" s="105" t="s">
        <v>281</v>
      </c>
      <c r="G100" s="155">
        <f>AHSP!F208</f>
        <v>1608855.75</v>
      </c>
      <c r="H100" s="156">
        <f t="shared" si="20"/>
        <v>352500.29482500011</v>
      </c>
    </row>
    <row r="101" spans="1:8" ht="18" x14ac:dyDescent="0.3">
      <c r="A101" s="165"/>
      <c r="B101" s="105">
        <f t="shared" si="21"/>
        <v>13</v>
      </c>
      <c r="C101" s="182" t="s">
        <v>475</v>
      </c>
      <c r="D101" s="105" t="str">
        <f>AHSP!A329</f>
        <v>A.4.4.1.21</v>
      </c>
      <c r="E101" s="124">
        <f>BackUp_Data!I215</f>
        <v>6.2249999999999996</v>
      </c>
      <c r="F101" s="105" t="s">
        <v>256</v>
      </c>
      <c r="G101" s="155">
        <f>AHSP!F349</f>
        <v>206758.5</v>
      </c>
      <c r="H101" s="156">
        <f t="shared" si="20"/>
        <v>1287071.6624999999</v>
      </c>
    </row>
    <row r="102" spans="1:8" ht="16.5" x14ac:dyDescent="0.3">
      <c r="A102" s="165"/>
      <c r="B102" s="105">
        <f t="shared" si="21"/>
        <v>14</v>
      </c>
      <c r="C102" s="182" t="s">
        <v>477</v>
      </c>
      <c r="D102" s="105" t="str">
        <f>AHSP!A167</f>
        <v>A.4.1.1.17</v>
      </c>
      <c r="E102" s="124">
        <f>Besi!F118</f>
        <v>113.64152799999999</v>
      </c>
      <c r="F102" s="105" t="s">
        <v>186</v>
      </c>
      <c r="G102" s="155">
        <f>AHSP!F186</f>
        <v>24772.15</v>
      </c>
      <c r="H102" s="156">
        <f t="shared" si="20"/>
        <v>2815144.9778451999</v>
      </c>
    </row>
    <row r="103" spans="1:8" ht="18" x14ac:dyDescent="0.3">
      <c r="A103" s="165"/>
      <c r="B103" s="105">
        <f t="shared" si="21"/>
        <v>15</v>
      </c>
      <c r="C103" s="182" t="s">
        <v>480</v>
      </c>
      <c r="D103" s="105" t="str">
        <f>AHSP!A188</f>
        <v>A.4.1.1.7a</v>
      </c>
      <c r="E103" s="124">
        <f>BackUp_Data!I218</f>
        <v>0.31125000000000003</v>
      </c>
      <c r="F103" s="105" t="s">
        <v>281</v>
      </c>
      <c r="G103" s="155">
        <f>AHSP!F208</f>
        <v>1608855.75</v>
      </c>
      <c r="H103" s="156">
        <f t="shared" si="20"/>
        <v>500756.35218750004</v>
      </c>
    </row>
    <row r="104" spans="1:8" ht="18" x14ac:dyDescent="0.3">
      <c r="A104" s="165"/>
      <c r="B104" s="105">
        <f t="shared" si="21"/>
        <v>16</v>
      </c>
      <c r="C104" s="182" t="s">
        <v>484</v>
      </c>
      <c r="D104" s="105" t="str">
        <f>AHSP!A291</f>
        <v>A.4.4.1.9</v>
      </c>
      <c r="E104" s="124">
        <f>BackUp_Data!I224</f>
        <v>57.227499999999992</v>
      </c>
      <c r="F104" s="105" t="s">
        <v>256</v>
      </c>
      <c r="G104" s="155">
        <f>AHSP!F310</f>
        <v>183948.25</v>
      </c>
      <c r="H104" s="156">
        <f t="shared" si="20"/>
        <v>10526898.476874998</v>
      </c>
    </row>
    <row r="105" spans="1:8" ht="18" x14ac:dyDescent="0.3">
      <c r="A105" s="165"/>
      <c r="B105" s="105">
        <f t="shared" si="21"/>
        <v>17</v>
      </c>
      <c r="C105" s="182" t="s">
        <v>487</v>
      </c>
      <c r="D105" s="105" t="str">
        <f>AHSP!A536</f>
        <v>A.4.4.2.4</v>
      </c>
      <c r="E105" s="124">
        <f>E104*2</f>
        <v>114.45499999999998</v>
      </c>
      <c r="F105" s="105" t="s">
        <v>256</v>
      </c>
      <c r="G105" s="155">
        <f>AHSP!F554</f>
        <v>110716.25</v>
      </c>
      <c r="H105" s="156">
        <f t="shared" si="20"/>
        <v>12672028.393749999</v>
      </c>
    </row>
    <row r="106" spans="1:8" ht="18" x14ac:dyDescent="0.3">
      <c r="A106" s="165"/>
      <c r="B106" s="105">
        <f t="shared" si="21"/>
        <v>18</v>
      </c>
      <c r="C106" s="182" t="s">
        <v>488</v>
      </c>
      <c r="D106" s="105" t="str">
        <f>AHSP!A556</f>
        <v>A.4.4.2.27</v>
      </c>
      <c r="E106" s="124">
        <f>E104*2</f>
        <v>114.45499999999998</v>
      </c>
      <c r="F106" s="105" t="s">
        <v>256</v>
      </c>
      <c r="G106" s="155">
        <f>AHSP!F573</f>
        <v>58707.5</v>
      </c>
      <c r="H106" s="156">
        <f t="shared" si="20"/>
        <v>6719366.9124999987</v>
      </c>
    </row>
    <row r="107" spans="1:8" ht="18" x14ac:dyDescent="0.3">
      <c r="A107" s="165"/>
      <c r="B107" s="105">
        <f t="shared" si="21"/>
        <v>19</v>
      </c>
      <c r="C107" s="182" t="s">
        <v>489</v>
      </c>
      <c r="D107" s="105" t="str">
        <f>AHSP!A253</f>
        <v>A.2.3.1.14</v>
      </c>
      <c r="E107" s="124">
        <f>BackUp_Data!I228</f>
        <v>8.8193000000000001</v>
      </c>
      <c r="F107" s="105" t="s">
        <v>281</v>
      </c>
      <c r="G107" s="155">
        <f>AHSP!F268</f>
        <v>351468.75</v>
      </c>
      <c r="H107" s="156">
        <f t="shared" si="20"/>
        <v>3099708.3468750003</v>
      </c>
    </row>
    <row r="108" spans="1:8" ht="18" x14ac:dyDescent="0.3">
      <c r="A108" s="165"/>
      <c r="B108" s="105">
        <f t="shared" si="21"/>
        <v>20</v>
      </c>
      <c r="C108" s="182" t="s">
        <v>667</v>
      </c>
      <c r="D108" s="105" t="str">
        <f>AHSP!A188</f>
        <v>A.4.1.1.7a</v>
      </c>
      <c r="E108" s="124">
        <f>BackUp_Data!I231</f>
        <v>0.98280000000000012</v>
      </c>
      <c r="F108" s="105" t="s">
        <v>281</v>
      </c>
      <c r="G108" s="155">
        <f>AHSP!F208</f>
        <v>1608855.75</v>
      </c>
      <c r="H108" s="156">
        <f t="shared" si="20"/>
        <v>1581183.4311000002</v>
      </c>
    </row>
    <row r="109" spans="1:8" ht="18" x14ac:dyDescent="0.3">
      <c r="A109" s="165"/>
      <c r="B109" s="105">
        <f t="shared" si="21"/>
        <v>21</v>
      </c>
      <c r="C109" s="182" t="s">
        <v>500</v>
      </c>
      <c r="D109" s="105" t="str">
        <f>AHSP!A777</f>
        <v>A. 4.4.3.54</v>
      </c>
      <c r="E109" s="124">
        <f>BackUp_Data!I234</f>
        <v>14.040000000000001</v>
      </c>
      <c r="F109" s="105" t="s">
        <v>256</v>
      </c>
      <c r="G109" s="155">
        <f>AHSP!F797</f>
        <v>203205.11499999999</v>
      </c>
      <c r="H109" s="156">
        <f t="shared" si="20"/>
        <v>2852999.8146000002</v>
      </c>
    </row>
    <row r="110" spans="1:8" ht="18" x14ac:dyDescent="0.3">
      <c r="A110" s="165"/>
      <c r="B110" s="105">
        <f t="shared" si="21"/>
        <v>22</v>
      </c>
      <c r="C110" s="182" t="s">
        <v>501</v>
      </c>
      <c r="D110" s="105" t="str">
        <f>AHSP!A799</f>
        <v>A. 4.4.3.54c</v>
      </c>
      <c r="E110" s="124">
        <f>E104</f>
        <v>57.227499999999992</v>
      </c>
      <c r="F110" s="105" t="s">
        <v>256</v>
      </c>
      <c r="G110" s="155">
        <f>AHSP!F819</f>
        <v>224634.56</v>
      </c>
      <c r="H110" s="156">
        <f t="shared" si="20"/>
        <v>12855274.282399999</v>
      </c>
    </row>
    <row r="111" spans="1:8" ht="18" x14ac:dyDescent="0.3">
      <c r="A111" s="165"/>
      <c r="B111" s="105">
        <f t="shared" si="21"/>
        <v>23</v>
      </c>
      <c r="C111" s="182" t="s">
        <v>502</v>
      </c>
      <c r="D111" s="105" t="str">
        <f>AHSP!A900</f>
        <v>A.4.7.1.10</v>
      </c>
      <c r="E111" s="124">
        <f>E104</f>
        <v>57.227499999999992</v>
      </c>
      <c r="F111" s="105" t="s">
        <v>256</v>
      </c>
      <c r="G111" s="155">
        <f>AHSP!F919</f>
        <v>36614.85</v>
      </c>
      <c r="H111" s="156">
        <f t="shared" si="20"/>
        <v>2095376.3283749996</v>
      </c>
    </row>
    <row r="112" spans="1:8" ht="18" x14ac:dyDescent="0.3">
      <c r="A112" s="165"/>
      <c r="B112" s="105">
        <f t="shared" si="21"/>
        <v>24</v>
      </c>
      <c r="C112" s="182" t="s">
        <v>503</v>
      </c>
      <c r="D112" s="105" t="str">
        <f>AHSP!A471</f>
        <v>A.4.2.1.22.01</v>
      </c>
      <c r="E112" s="124">
        <f>BackUp_Data!I237</f>
        <v>22.447500000000002</v>
      </c>
      <c r="F112" s="105" t="s">
        <v>256</v>
      </c>
      <c r="G112" s="155">
        <f>AHSP!F491</f>
        <v>213831</v>
      </c>
      <c r="H112" s="156">
        <f t="shared" si="20"/>
        <v>4799971.3725000005</v>
      </c>
    </row>
    <row r="113" spans="1:10" ht="18" x14ac:dyDescent="0.3">
      <c r="A113" s="165"/>
      <c r="B113" s="105">
        <f t="shared" si="21"/>
        <v>25</v>
      </c>
      <c r="C113" s="182" t="s">
        <v>505</v>
      </c>
      <c r="D113" s="105" t="str">
        <f>AHSP!A575</f>
        <v>TAKSIR 2</v>
      </c>
      <c r="E113" s="124">
        <f>BackUp_Data!I240</f>
        <v>25</v>
      </c>
      <c r="F113" s="105" t="s">
        <v>256</v>
      </c>
      <c r="G113" s="155">
        <f>AHSP!F593</f>
        <v>101181.6</v>
      </c>
      <c r="H113" s="156">
        <f t="shared" si="20"/>
        <v>2529540</v>
      </c>
    </row>
    <row r="114" spans="1:10" ht="18" x14ac:dyDescent="0.3">
      <c r="A114" s="165"/>
      <c r="B114" s="105">
        <f t="shared" si="21"/>
        <v>26</v>
      </c>
      <c r="C114" s="182" t="s">
        <v>507</v>
      </c>
      <c r="D114" s="118" t="str">
        <f>AHSP!A1003</f>
        <v xml:space="preserve">PPL Supl. 6.1  </v>
      </c>
      <c r="E114" s="128">
        <f>E112</f>
        <v>22.447500000000002</v>
      </c>
      <c r="F114" s="105" t="s">
        <v>256</v>
      </c>
      <c r="G114" s="179">
        <f>AHSP!F1022</f>
        <v>76746.399999999994</v>
      </c>
      <c r="H114" s="156">
        <f t="shared" si="20"/>
        <v>1722764.814</v>
      </c>
    </row>
    <row r="115" spans="1:10" ht="18" x14ac:dyDescent="0.3">
      <c r="A115" s="165"/>
      <c r="B115" s="105">
        <f t="shared" si="21"/>
        <v>27</v>
      </c>
      <c r="C115" s="182" t="s">
        <v>707</v>
      </c>
      <c r="D115" s="118" t="str">
        <f>AHSP!A673</f>
        <v>Hitung 1</v>
      </c>
      <c r="E115" s="128">
        <f>E112</f>
        <v>22.447500000000002</v>
      </c>
      <c r="F115" s="105" t="s">
        <v>256</v>
      </c>
      <c r="G115" s="179">
        <f>AHSP!F691</f>
        <v>306117.75249999994</v>
      </c>
      <c r="H115" s="156">
        <f t="shared" si="20"/>
        <v>6871578.2492437493</v>
      </c>
    </row>
    <row r="116" spans="1:10" ht="18" x14ac:dyDescent="0.3">
      <c r="A116" s="165"/>
      <c r="B116" s="105">
        <f t="shared" si="21"/>
        <v>28</v>
      </c>
      <c r="C116" s="182" t="s">
        <v>508</v>
      </c>
      <c r="D116" s="118" t="str">
        <f>AHSP!A693</f>
        <v>Hitung 2</v>
      </c>
      <c r="E116" s="128">
        <f>BackUp_Data!I243</f>
        <v>51.199999999999996</v>
      </c>
      <c r="F116" s="105" t="s">
        <v>424</v>
      </c>
      <c r="G116" s="179">
        <f>AHSP!F711</f>
        <v>94923.3</v>
      </c>
      <c r="H116" s="156">
        <f t="shared" si="20"/>
        <v>4860072.96</v>
      </c>
    </row>
    <row r="117" spans="1:10" ht="16.5" x14ac:dyDescent="0.3">
      <c r="A117" s="165"/>
      <c r="B117" s="105">
        <f t="shared" si="21"/>
        <v>29</v>
      </c>
      <c r="C117" s="182" t="s">
        <v>510</v>
      </c>
      <c r="D117" s="118" t="str">
        <f>AHSP!A1238</f>
        <v>A.8.4.6.1</v>
      </c>
      <c r="E117" s="128">
        <v>6</v>
      </c>
      <c r="F117" s="118" t="s">
        <v>511</v>
      </c>
      <c r="G117" s="179">
        <f>AHSP!F1259</f>
        <v>565409</v>
      </c>
      <c r="H117" s="156">
        <f t="shared" si="20"/>
        <v>3392454</v>
      </c>
    </row>
    <row r="118" spans="1:10" ht="16.5" x14ac:dyDescent="0.3">
      <c r="A118" s="165"/>
      <c r="B118" s="105">
        <f t="shared" si="21"/>
        <v>30</v>
      </c>
      <c r="C118" s="182" t="s">
        <v>512</v>
      </c>
      <c r="D118" s="118" t="s">
        <v>420</v>
      </c>
      <c r="E118" s="128">
        <v>5</v>
      </c>
      <c r="F118" s="118" t="s">
        <v>137</v>
      </c>
      <c r="G118" s="179">
        <f>'HARGA BAHAN'!E126*1.3</f>
        <v>101400</v>
      </c>
      <c r="H118" s="156">
        <f t="shared" si="20"/>
        <v>507000</v>
      </c>
    </row>
    <row r="119" spans="1:10" ht="16.5" x14ac:dyDescent="0.3">
      <c r="A119" s="165"/>
      <c r="B119" s="105">
        <f t="shared" si="21"/>
        <v>31</v>
      </c>
      <c r="C119" s="182" t="s">
        <v>515</v>
      </c>
      <c r="D119" s="118" t="s">
        <v>420</v>
      </c>
      <c r="E119" s="128">
        <v>1</v>
      </c>
      <c r="F119" s="118" t="s">
        <v>137</v>
      </c>
      <c r="G119" s="179">
        <f>'HARGA BAHAN'!E124*1.3</f>
        <v>110500</v>
      </c>
      <c r="H119" s="156">
        <f t="shared" ref="H119:H130" si="22">E119*G119</f>
        <v>110500</v>
      </c>
    </row>
    <row r="120" spans="1:10" ht="16.5" x14ac:dyDescent="0.3">
      <c r="A120" s="165"/>
      <c r="B120" s="105">
        <f t="shared" si="21"/>
        <v>32</v>
      </c>
      <c r="C120" s="182" t="s">
        <v>516</v>
      </c>
      <c r="D120" s="118" t="s">
        <v>518</v>
      </c>
      <c r="E120" s="128">
        <v>2</v>
      </c>
      <c r="F120" s="118" t="s">
        <v>137</v>
      </c>
      <c r="G120" s="179">
        <f>'HARGA BAHAN'!E105</f>
        <v>210000</v>
      </c>
      <c r="H120" s="156">
        <f t="shared" si="22"/>
        <v>420000</v>
      </c>
      <c r="J120" s="135">
        <f>0.55*0.55*0.58</f>
        <v>0.17545000000000002</v>
      </c>
    </row>
    <row r="121" spans="1:10" ht="16.5" x14ac:dyDescent="0.3">
      <c r="A121" s="165"/>
      <c r="B121" s="105">
        <f t="shared" si="21"/>
        <v>33</v>
      </c>
      <c r="C121" s="182" t="s">
        <v>546</v>
      </c>
      <c r="D121" s="118" t="str">
        <f>AHSP!A1101</f>
        <v>A.5.1.1.1</v>
      </c>
      <c r="E121" s="128">
        <v>2</v>
      </c>
      <c r="F121" s="118" t="s">
        <v>206</v>
      </c>
      <c r="G121" s="179">
        <f>AHSP!F1119</f>
        <v>936215</v>
      </c>
      <c r="H121" s="156">
        <f t="shared" si="22"/>
        <v>1872430</v>
      </c>
    </row>
    <row r="122" spans="1:10" ht="16.5" x14ac:dyDescent="0.3">
      <c r="A122" s="165"/>
      <c r="B122" s="105">
        <f t="shared" si="21"/>
        <v>34</v>
      </c>
      <c r="C122" s="182" t="s">
        <v>553</v>
      </c>
      <c r="D122" s="118" t="str">
        <f>AHSP!A1121</f>
        <v>A.5.1.1.14</v>
      </c>
      <c r="E122" s="128">
        <v>2</v>
      </c>
      <c r="F122" s="118" t="s">
        <v>206</v>
      </c>
      <c r="G122" s="179">
        <f>AHSP!F1137</f>
        <v>72363.75</v>
      </c>
      <c r="H122" s="156">
        <f t="shared" si="22"/>
        <v>144727.5</v>
      </c>
    </row>
    <row r="123" spans="1:10" ht="16.5" x14ac:dyDescent="0.3">
      <c r="A123" s="165"/>
      <c r="B123" s="105">
        <f>B122+1</f>
        <v>35</v>
      </c>
      <c r="C123" s="182" t="s">
        <v>816</v>
      </c>
      <c r="D123" s="118" t="str">
        <f>AHSP!A1201</f>
        <v>A.5.1.1 5</v>
      </c>
      <c r="E123" s="128">
        <v>2</v>
      </c>
      <c r="F123" s="118" t="s">
        <v>206</v>
      </c>
      <c r="G123" s="179">
        <f>AHSP!F1220</f>
        <v>1530985.8</v>
      </c>
      <c r="H123" s="156">
        <f t="shared" si="22"/>
        <v>3061971.6</v>
      </c>
    </row>
    <row r="124" spans="1:10" ht="18" x14ac:dyDescent="0.3">
      <c r="A124" s="165"/>
      <c r="B124" s="105">
        <f>B123+1</f>
        <v>36</v>
      </c>
      <c r="C124" s="182" t="s">
        <v>521</v>
      </c>
      <c r="D124" s="118" t="str">
        <f>AHSP!A1044</f>
        <v>A.5.1.1 30.a</v>
      </c>
      <c r="E124" s="128">
        <v>12</v>
      </c>
      <c r="F124" s="105" t="s">
        <v>424</v>
      </c>
      <c r="G124" s="179">
        <f>AHSP!F1061</f>
        <v>31321.4</v>
      </c>
      <c r="H124" s="156">
        <f t="shared" si="22"/>
        <v>375856.80000000005</v>
      </c>
    </row>
    <row r="125" spans="1:10" ht="16.5" x14ac:dyDescent="0.3">
      <c r="A125" s="165"/>
      <c r="B125" s="105">
        <f t="shared" si="21"/>
        <v>37</v>
      </c>
      <c r="C125" s="182" t="s">
        <v>525</v>
      </c>
      <c r="D125" s="118" t="str">
        <f>AHSP!A1024</f>
        <v>A.5.1.1.19</v>
      </c>
      <c r="E125" s="128">
        <v>4</v>
      </c>
      <c r="F125" s="118" t="s">
        <v>137</v>
      </c>
      <c r="G125" s="179">
        <f>AHSP!F1042</f>
        <v>147792.25</v>
      </c>
      <c r="H125" s="156">
        <f t="shared" si="22"/>
        <v>591169</v>
      </c>
    </row>
    <row r="126" spans="1:10" ht="18" x14ac:dyDescent="0.3">
      <c r="A126" s="165"/>
      <c r="B126" s="105">
        <f t="shared" si="21"/>
        <v>38</v>
      </c>
      <c r="C126" s="182" t="s">
        <v>526</v>
      </c>
      <c r="D126" s="118" t="str">
        <f>AHSP!A1063</f>
        <v>A.5.1.1 31</v>
      </c>
      <c r="E126" s="128">
        <v>10</v>
      </c>
      <c r="F126" s="105" t="s">
        <v>424</v>
      </c>
      <c r="G126" s="179">
        <f>AHSP!F1080</f>
        <v>151489.5</v>
      </c>
      <c r="H126" s="156">
        <f t="shared" si="22"/>
        <v>1514895</v>
      </c>
    </row>
    <row r="127" spans="1:10" ht="18" x14ac:dyDescent="0.3">
      <c r="A127" s="165"/>
      <c r="B127" s="105">
        <f t="shared" si="21"/>
        <v>39</v>
      </c>
      <c r="C127" s="182" t="s">
        <v>530</v>
      </c>
      <c r="D127" s="118" t="str">
        <f>AHSP!A1082</f>
        <v>A.5.1.1 32</v>
      </c>
      <c r="E127" s="128">
        <v>10</v>
      </c>
      <c r="F127" s="105" t="s">
        <v>424</v>
      </c>
      <c r="G127" s="179">
        <f>AHSP!F1099</f>
        <v>272958.25</v>
      </c>
      <c r="H127" s="156">
        <f t="shared" si="22"/>
        <v>2729582.5</v>
      </c>
    </row>
    <row r="128" spans="1:10" ht="16.5" x14ac:dyDescent="0.3">
      <c r="A128" s="165"/>
      <c r="B128" s="105">
        <f t="shared" si="21"/>
        <v>40</v>
      </c>
      <c r="C128" s="182" t="s">
        <v>545</v>
      </c>
      <c r="D128" s="118" t="str">
        <f>AHSP!A1222</f>
        <v>Taksir Sptk.T.</v>
      </c>
      <c r="E128" s="128">
        <v>1</v>
      </c>
      <c r="F128" s="118" t="s">
        <v>206</v>
      </c>
      <c r="G128" s="179">
        <f>AHSP!F1236</f>
        <v>10097864.268999999</v>
      </c>
      <c r="H128" s="156">
        <f t="shared" si="22"/>
        <v>10097864.268999999</v>
      </c>
    </row>
    <row r="129" spans="1:8" ht="16.5" x14ac:dyDescent="0.3">
      <c r="A129" s="165"/>
      <c r="B129" s="105">
        <f t="shared" si="21"/>
        <v>41</v>
      </c>
      <c r="C129" s="182" t="s">
        <v>561</v>
      </c>
      <c r="D129" s="118" t="s">
        <v>420</v>
      </c>
      <c r="E129" s="128">
        <v>4</v>
      </c>
      <c r="F129" s="118" t="s">
        <v>206</v>
      </c>
      <c r="G129" s="179">
        <f>'HARGA BAHAN'!E72*1.3</f>
        <v>884000</v>
      </c>
      <c r="H129" s="156">
        <f t="shared" si="22"/>
        <v>3536000</v>
      </c>
    </row>
    <row r="130" spans="1:8" ht="16.5" x14ac:dyDescent="0.3">
      <c r="A130" s="165"/>
      <c r="B130" s="105">
        <f t="shared" si="21"/>
        <v>42</v>
      </c>
      <c r="C130" s="182" t="s">
        <v>563</v>
      </c>
      <c r="D130" s="118" t="s">
        <v>518</v>
      </c>
      <c r="E130" s="128">
        <v>4</v>
      </c>
      <c r="F130" s="118" t="s">
        <v>564</v>
      </c>
      <c r="G130" s="179">
        <f>'HARGA BAHAN'!E129</f>
        <v>42000</v>
      </c>
      <c r="H130" s="156">
        <f t="shared" si="22"/>
        <v>168000</v>
      </c>
    </row>
    <row r="131" spans="1:8" ht="16.5" x14ac:dyDescent="0.3">
      <c r="A131" s="165"/>
      <c r="B131" s="105">
        <f t="shared" si="21"/>
        <v>43</v>
      </c>
      <c r="C131" s="182" t="s">
        <v>566</v>
      </c>
      <c r="D131" s="118" t="s">
        <v>518</v>
      </c>
      <c r="E131" s="128">
        <v>4</v>
      </c>
      <c r="F131" s="118" t="s">
        <v>137</v>
      </c>
      <c r="G131" s="179">
        <f>'HARGA BAHAN'!E134</f>
        <v>8000</v>
      </c>
      <c r="H131" s="156">
        <f t="shared" ref="H131" si="23">E131*G131</f>
        <v>32000</v>
      </c>
    </row>
    <row r="132" spans="1:8" ht="16.5" x14ac:dyDescent="0.3">
      <c r="A132" s="165"/>
      <c r="B132" s="105">
        <f t="shared" si="21"/>
        <v>44</v>
      </c>
      <c r="C132" s="182" t="s">
        <v>567</v>
      </c>
      <c r="D132" s="118"/>
      <c r="E132" s="128"/>
      <c r="F132" s="118"/>
      <c r="G132" s="179"/>
      <c r="H132" s="183"/>
    </row>
    <row r="133" spans="1:8" ht="18" x14ac:dyDescent="0.3">
      <c r="A133" s="165"/>
      <c r="B133" s="105"/>
      <c r="C133" s="182" t="s">
        <v>575</v>
      </c>
      <c r="D133" s="118" t="str">
        <f>AHSP!A232</f>
        <v>A.4.2.1.11.</v>
      </c>
      <c r="E133" s="128">
        <f>BackUp_Data!I247</f>
        <v>12.500000000000002</v>
      </c>
      <c r="F133" s="105" t="s">
        <v>424</v>
      </c>
      <c r="G133" s="179">
        <f>AHSP!F251</f>
        <v>186755.97500000001</v>
      </c>
      <c r="H133" s="156">
        <f t="shared" ref="H133:H134" si="24">E133*G133</f>
        <v>2334449.6875000005</v>
      </c>
    </row>
    <row r="134" spans="1:8" ht="18" x14ac:dyDescent="0.3">
      <c r="A134" s="165"/>
      <c r="B134" s="105"/>
      <c r="C134" s="182" t="s">
        <v>577</v>
      </c>
      <c r="D134" s="118" t="str">
        <f>AHSP!A965</f>
        <v>A.4.6.2.17</v>
      </c>
      <c r="E134" s="128">
        <f>BackUp_Data!I250</f>
        <v>1.7999999999999998</v>
      </c>
      <c r="F134" s="105" t="s">
        <v>256</v>
      </c>
      <c r="G134" s="179">
        <f>AHSP!F983</f>
        <v>246347.25</v>
      </c>
      <c r="H134" s="156">
        <f t="shared" si="24"/>
        <v>443425.04999999993</v>
      </c>
    </row>
    <row r="135" spans="1:8" ht="17.25" thickBot="1" x14ac:dyDescent="0.35">
      <c r="A135" s="165"/>
      <c r="B135" s="105"/>
      <c r="C135" s="184"/>
      <c r="D135" s="113"/>
      <c r="E135" s="129"/>
      <c r="F135" s="113"/>
      <c r="G135" s="185"/>
      <c r="H135" s="186"/>
    </row>
    <row r="136" spans="1:8" ht="17.25" thickBot="1" x14ac:dyDescent="0.35">
      <c r="A136" s="469" t="s">
        <v>385</v>
      </c>
      <c r="B136" s="470"/>
      <c r="C136" s="470"/>
      <c r="D136" s="470"/>
      <c r="E136" s="470"/>
      <c r="F136" s="470"/>
      <c r="G136" s="471"/>
      <c r="H136" s="158">
        <f>SUM(H89:H135)</f>
        <v>131729249.43583198</v>
      </c>
    </row>
    <row r="137" spans="1:8" ht="17.25" thickTop="1" x14ac:dyDescent="0.3">
      <c r="A137" s="170" t="s">
        <v>474</v>
      </c>
      <c r="B137" s="171" t="s">
        <v>376</v>
      </c>
      <c r="C137" s="172"/>
      <c r="D137" s="126"/>
      <c r="E137" s="126"/>
      <c r="F137" s="173"/>
      <c r="G137" s="174"/>
      <c r="H137" s="175"/>
    </row>
    <row r="138" spans="1:8" ht="16.5" x14ac:dyDescent="0.3">
      <c r="A138" s="165"/>
      <c r="B138" s="118">
        <v>1</v>
      </c>
      <c r="C138" s="166" t="s">
        <v>300</v>
      </c>
      <c r="D138" s="118" t="str">
        <f>AHSP!A1238</f>
        <v>A.8.4.6.1</v>
      </c>
      <c r="E138" s="128">
        <v>22</v>
      </c>
      <c r="F138" s="106" t="s">
        <v>377</v>
      </c>
      <c r="G138" s="179">
        <f>AHSP!F1259</f>
        <v>565409</v>
      </c>
      <c r="H138" s="156">
        <f t="shared" ref="H138:H142" si="25">E138*G138</f>
        <v>12438998</v>
      </c>
    </row>
    <row r="139" spans="1:8" ht="16.5" x14ac:dyDescent="0.3">
      <c r="A139" s="165"/>
      <c r="B139" s="105">
        <f t="shared" ref="B139:B141" si="26">B138+1</f>
        <v>2</v>
      </c>
      <c r="C139" s="182" t="s">
        <v>283</v>
      </c>
      <c r="D139" s="118" t="s">
        <v>285</v>
      </c>
      <c r="E139" s="128">
        <v>4</v>
      </c>
      <c r="F139" s="107" t="s">
        <v>18</v>
      </c>
      <c r="G139" s="179">
        <f>'HARGA BAHAN'!E124*1.3</f>
        <v>110500</v>
      </c>
      <c r="H139" s="156">
        <f t="shared" si="25"/>
        <v>442000</v>
      </c>
    </row>
    <row r="140" spans="1:8" ht="16.5" x14ac:dyDescent="0.3">
      <c r="A140" s="165"/>
      <c r="B140" s="105">
        <f t="shared" si="26"/>
        <v>3</v>
      </c>
      <c r="C140" s="182" t="s">
        <v>378</v>
      </c>
      <c r="D140" s="118" t="s">
        <v>285</v>
      </c>
      <c r="E140" s="128">
        <v>6</v>
      </c>
      <c r="F140" s="107" t="s">
        <v>18</v>
      </c>
      <c r="G140" s="179">
        <f>'HARGA BAHAN'!E125*1.3</f>
        <v>51870</v>
      </c>
      <c r="H140" s="156">
        <f t="shared" si="25"/>
        <v>311220</v>
      </c>
    </row>
    <row r="141" spans="1:8" ht="16.5" x14ac:dyDescent="0.3">
      <c r="A141" s="165"/>
      <c r="B141" s="105">
        <f t="shared" si="26"/>
        <v>4</v>
      </c>
      <c r="C141" s="182" t="s">
        <v>284</v>
      </c>
      <c r="D141" s="118" t="s">
        <v>285</v>
      </c>
      <c r="E141" s="128">
        <v>12</v>
      </c>
      <c r="F141" s="107" t="s">
        <v>18</v>
      </c>
      <c r="G141" s="179">
        <f>'HARGA BAHAN'!E127+('HARGA BAHAN'!E127*30%)</f>
        <v>168350</v>
      </c>
      <c r="H141" s="156">
        <f t="shared" si="25"/>
        <v>2020200</v>
      </c>
    </row>
    <row r="142" spans="1:8" ht="17.25" thickBot="1" x14ac:dyDescent="0.35">
      <c r="A142" s="165"/>
      <c r="B142" s="118"/>
      <c r="C142" s="184"/>
      <c r="D142" s="118"/>
      <c r="E142" s="128"/>
      <c r="F142" s="107"/>
      <c r="G142" s="179"/>
      <c r="H142" s="156">
        <f t="shared" si="25"/>
        <v>0</v>
      </c>
    </row>
    <row r="143" spans="1:8" ht="17.25" thickBot="1" x14ac:dyDescent="0.35">
      <c r="A143" s="469" t="s">
        <v>650</v>
      </c>
      <c r="B143" s="470"/>
      <c r="C143" s="470"/>
      <c r="D143" s="470"/>
      <c r="E143" s="470"/>
      <c r="F143" s="470"/>
      <c r="G143" s="471"/>
      <c r="H143" s="158">
        <f>SUM(H138:H142)</f>
        <v>15212418</v>
      </c>
    </row>
    <row r="144" spans="1:8" ht="16.5" x14ac:dyDescent="0.3">
      <c r="A144" s="159" t="s">
        <v>652</v>
      </c>
      <c r="B144" s="160" t="s">
        <v>282</v>
      </c>
      <c r="C144" s="161"/>
      <c r="D144" s="125"/>
      <c r="E144" s="125"/>
      <c r="F144" s="162"/>
      <c r="G144" s="163"/>
      <c r="H144" s="164"/>
    </row>
    <row r="145" spans="1:8" ht="16.5" x14ac:dyDescent="0.3">
      <c r="A145" s="165"/>
      <c r="B145" s="105">
        <v>1</v>
      </c>
      <c r="C145" s="166" t="s">
        <v>268</v>
      </c>
      <c r="D145" s="105" t="s">
        <v>33</v>
      </c>
      <c r="E145" s="124">
        <v>1</v>
      </c>
      <c r="F145" s="105" t="s">
        <v>33</v>
      </c>
      <c r="G145" s="155">
        <v>400000</v>
      </c>
      <c r="H145" s="156">
        <f t="shared" ref="H145" si="27">E145*G145</f>
        <v>400000</v>
      </c>
    </row>
    <row r="146" spans="1:8" ht="16.5" x14ac:dyDescent="0.3">
      <c r="A146" s="153"/>
      <c r="B146" s="118"/>
      <c r="C146" s="182" t="s">
        <v>303</v>
      </c>
      <c r="D146" s="118"/>
      <c r="E146" s="128"/>
      <c r="F146" s="118"/>
      <c r="G146" s="179"/>
      <c r="H146" s="187"/>
    </row>
    <row r="147" spans="1:8" ht="17.25" thickBot="1" x14ac:dyDescent="0.35">
      <c r="A147" s="153"/>
      <c r="B147" s="118"/>
      <c r="C147" s="182"/>
      <c r="D147" s="118"/>
      <c r="E147" s="128"/>
      <c r="F147" s="118"/>
      <c r="G147" s="179"/>
      <c r="H147" s="187"/>
    </row>
    <row r="148" spans="1:8" ht="17.25" thickBot="1" x14ac:dyDescent="0.35">
      <c r="A148" s="469" t="s">
        <v>651</v>
      </c>
      <c r="B148" s="470"/>
      <c r="C148" s="470"/>
      <c r="D148" s="470"/>
      <c r="E148" s="470"/>
      <c r="F148" s="470"/>
      <c r="G148" s="471"/>
      <c r="H148" s="158">
        <f>SUM(H145:H147)</f>
        <v>400000</v>
      </c>
    </row>
    <row r="149" spans="1:8" ht="16.5" x14ac:dyDescent="0.3">
      <c r="A149" s="159" t="s">
        <v>764</v>
      </c>
      <c r="B149" s="160" t="s">
        <v>653</v>
      </c>
      <c r="C149" s="161"/>
      <c r="D149" s="125"/>
      <c r="E149" s="125"/>
      <c r="F149" s="162"/>
      <c r="G149" s="163"/>
      <c r="H149" s="164"/>
    </row>
    <row r="150" spans="1:8" ht="16.5" x14ac:dyDescent="0.3">
      <c r="A150" s="165"/>
      <c r="B150" s="105">
        <v>1</v>
      </c>
      <c r="C150" s="182" t="s">
        <v>654</v>
      </c>
      <c r="D150" s="105" t="s">
        <v>33</v>
      </c>
      <c r="E150" s="124">
        <v>5</v>
      </c>
      <c r="F150" s="105" t="s">
        <v>379</v>
      </c>
      <c r="G150" s="155">
        <v>200000</v>
      </c>
      <c r="H150" s="156">
        <f t="shared" ref="H150:H151" si="28">E150*G150</f>
        <v>1000000</v>
      </c>
    </row>
    <row r="151" spans="1:8" ht="16.5" x14ac:dyDescent="0.3">
      <c r="A151" s="153"/>
      <c r="B151" s="118">
        <v>2</v>
      </c>
      <c r="C151" s="182" t="s">
        <v>655</v>
      </c>
      <c r="D151" s="118" t="s">
        <v>33</v>
      </c>
      <c r="E151" s="128">
        <v>5</v>
      </c>
      <c r="F151" s="118" t="s">
        <v>379</v>
      </c>
      <c r="G151" s="179">
        <v>250000</v>
      </c>
      <c r="H151" s="156">
        <f t="shared" si="28"/>
        <v>1250000</v>
      </c>
    </row>
    <row r="152" spans="1:8" ht="16.5" x14ac:dyDescent="0.3">
      <c r="A152" s="153"/>
      <c r="B152" s="118">
        <v>3</v>
      </c>
      <c r="C152" s="182" t="s">
        <v>794</v>
      </c>
      <c r="D152" s="118" t="s">
        <v>33</v>
      </c>
      <c r="E152" s="128">
        <v>5</v>
      </c>
      <c r="F152" s="118" t="s">
        <v>379</v>
      </c>
      <c r="G152" s="179">
        <v>300000</v>
      </c>
      <c r="H152" s="156">
        <f t="shared" ref="H152" si="29">E152*G152</f>
        <v>1500000</v>
      </c>
    </row>
    <row r="153" spans="1:8" ht="17.25" thickBot="1" x14ac:dyDescent="0.35">
      <c r="A153" s="153"/>
      <c r="B153" s="113"/>
      <c r="C153" s="188"/>
      <c r="D153" s="113"/>
      <c r="E153" s="129"/>
      <c r="F153" s="129"/>
      <c r="G153" s="185"/>
      <c r="H153" s="187"/>
    </row>
    <row r="154" spans="1:8" ht="17.25" thickBot="1" x14ac:dyDescent="0.35">
      <c r="A154" s="469" t="s">
        <v>765</v>
      </c>
      <c r="B154" s="470"/>
      <c r="C154" s="470"/>
      <c r="D154" s="470"/>
      <c r="E154" s="470"/>
      <c r="F154" s="470"/>
      <c r="G154" s="471"/>
      <c r="H154" s="158">
        <f>SUM(H150:H153)</f>
        <v>3750000</v>
      </c>
    </row>
    <row r="155" spans="1:8" ht="16.5" x14ac:dyDescent="0.3">
      <c r="A155" s="136"/>
      <c r="B155" s="120"/>
      <c r="C155" s="189"/>
      <c r="D155" s="120"/>
      <c r="E155" s="120"/>
      <c r="F155" s="136"/>
      <c r="G155" s="137"/>
      <c r="H155" s="137"/>
    </row>
    <row r="156" spans="1:8" ht="16.5" x14ac:dyDescent="0.3">
      <c r="A156" s="136"/>
      <c r="B156" s="120"/>
      <c r="C156" s="189"/>
      <c r="D156" s="120"/>
      <c r="E156" s="120"/>
      <c r="F156" s="136"/>
      <c r="G156" s="137"/>
      <c r="H156" s="137"/>
    </row>
    <row r="157" spans="1:8" ht="16.5" x14ac:dyDescent="0.3">
      <c r="A157" s="136"/>
      <c r="B157" s="120"/>
      <c r="C157" s="189"/>
      <c r="D157" s="120"/>
      <c r="E157" s="120"/>
      <c r="F157" s="136"/>
      <c r="G157" s="137"/>
      <c r="H157" s="137"/>
    </row>
    <row r="158" spans="1:8" ht="16.5" x14ac:dyDescent="0.3">
      <c r="A158" s="136"/>
      <c r="B158" s="120"/>
      <c r="C158" s="189"/>
      <c r="D158" s="120"/>
      <c r="E158" s="120"/>
      <c r="F158" s="136"/>
      <c r="G158" s="137"/>
      <c r="H158" s="137"/>
    </row>
    <row r="159" spans="1:8" ht="16.5" x14ac:dyDescent="0.3">
      <c r="A159" s="136"/>
      <c r="B159" s="120"/>
      <c r="C159" s="189"/>
      <c r="D159" s="120"/>
      <c r="E159" s="120"/>
      <c r="F159" s="136"/>
      <c r="G159" s="137"/>
      <c r="H159" s="137"/>
    </row>
    <row r="160" spans="1:8" ht="16.5" x14ac:dyDescent="0.3">
      <c r="A160" s="136"/>
      <c r="B160" s="120"/>
      <c r="C160" s="189"/>
      <c r="D160" s="120"/>
      <c r="E160" s="120"/>
      <c r="F160" s="136"/>
      <c r="G160" s="137"/>
      <c r="H160" s="137"/>
    </row>
    <row r="161" spans="1:8" ht="16.5" x14ac:dyDescent="0.3">
      <c r="A161" s="136"/>
      <c r="B161" s="120"/>
      <c r="C161" s="189"/>
      <c r="D161" s="120"/>
      <c r="E161" s="120"/>
      <c r="F161" s="136"/>
      <c r="G161" s="137"/>
      <c r="H161" s="137"/>
    </row>
    <row r="162" spans="1:8" ht="16.5" x14ac:dyDescent="0.3">
      <c r="A162" s="136"/>
      <c r="B162" s="120"/>
      <c r="C162" s="189"/>
      <c r="D162" s="120"/>
      <c r="E162" s="120"/>
      <c r="F162" s="136"/>
      <c r="G162" s="137"/>
      <c r="H162" s="137"/>
    </row>
    <row r="163" spans="1:8" ht="16.5" x14ac:dyDescent="0.3">
      <c r="A163" s="136"/>
      <c r="B163" s="120"/>
      <c r="C163" s="189"/>
      <c r="D163" s="120"/>
      <c r="E163" s="120"/>
      <c r="F163" s="136"/>
      <c r="G163" s="137"/>
      <c r="H163" s="137"/>
    </row>
    <row r="164" spans="1:8" ht="16.5" x14ac:dyDescent="0.3">
      <c r="A164" s="136"/>
      <c r="B164" s="120"/>
      <c r="C164" s="189"/>
      <c r="D164" s="120"/>
      <c r="E164" s="120"/>
      <c r="F164" s="136"/>
      <c r="G164" s="137"/>
      <c r="H164" s="137"/>
    </row>
    <row r="165" spans="1:8" ht="16.5" x14ac:dyDescent="0.3">
      <c r="A165" s="136"/>
      <c r="B165" s="120"/>
      <c r="C165" s="189"/>
      <c r="D165" s="120"/>
      <c r="E165" s="120"/>
      <c r="F165" s="136"/>
      <c r="G165" s="137"/>
      <c r="H165" s="137"/>
    </row>
    <row r="166" spans="1:8" ht="16.5" x14ac:dyDescent="0.3">
      <c r="A166" s="136"/>
      <c r="B166" s="120"/>
      <c r="C166" s="189"/>
      <c r="D166" s="120"/>
      <c r="E166" s="120"/>
      <c r="F166" s="136"/>
      <c r="G166" s="137"/>
      <c r="H166" s="137"/>
    </row>
    <row r="167" spans="1:8" ht="16.5" x14ac:dyDescent="0.3">
      <c r="A167" s="136"/>
      <c r="B167" s="120"/>
      <c r="C167" s="189"/>
      <c r="D167" s="120"/>
      <c r="E167" s="120"/>
      <c r="F167" s="136"/>
      <c r="G167" s="137"/>
      <c r="H167" s="137"/>
    </row>
    <row r="168" spans="1:8" ht="16.5" x14ac:dyDescent="0.3">
      <c r="A168" s="136"/>
      <c r="B168" s="120"/>
      <c r="C168" s="189"/>
      <c r="D168" s="120"/>
      <c r="E168" s="120"/>
      <c r="F168" s="136"/>
      <c r="G168" s="137"/>
      <c r="H168" s="137"/>
    </row>
    <row r="169" spans="1:8" ht="16.5" x14ac:dyDescent="0.3">
      <c r="A169" s="136"/>
      <c r="B169" s="120"/>
      <c r="C169" s="189"/>
      <c r="D169" s="120"/>
      <c r="E169" s="120"/>
      <c r="F169" s="136"/>
      <c r="G169" s="137"/>
      <c r="H169" s="137"/>
    </row>
    <row r="170" spans="1:8" ht="16.5" x14ac:dyDescent="0.3">
      <c r="A170" s="136"/>
      <c r="B170" s="120"/>
      <c r="C170" s="189"/>
      <c r="D170" s="120"/>
      <c r="E170" s="120"/>
      <c r="F170" s="136"/>
      <c r="G170" s="137"/>
      <c r="H170" s="137"/>
    </row>
    <row r="171" spans="1:8" ht="16.5" x14ac:dyDescent="0.3">
      <c r="A171" s="136"/>
      <c r="B171" s="120"/>
      <c r="C171" s="189"/>
      <c r="D171" s="120"/>
      <c r="E171" s="120"/>
      <c r="F171" s="136"/>
      <c r="G171" s="137"/>
      <c r="H171" s="137"/>
    </row>
    <row r="172" spans="1:8" ht="16.5" x14ac:dyDescent="0.3">
      <c r="A172" s="136"/>
      <c r="B172" s="120"/>
      <c r="C172" s="189"/>
      <c r="D172" s="120"/>
      <c r="E172" s="120"/>
      <c r="F172" s="136"/>
      <c r="G172" s="137"/>
      <c r="H172" s="137"/>
    </row>
    <row r="173" spans="1:8" ht="16.5" x14ac:dyDescent="0.3">
      <c r="A173" s="136"/>
      <c r="B173" s="120"/>
      <c r="C173" s="189"/>
      <c r="D173" s="120"/>
      <c r="E173" s="120"/>
      <c r="F173" s="136"/>
      <c r="G173" s="137"/>
      <c r="H173" s="137"/>
    </row>
    <row r="174" spans="1:8" ht="16.5" x14ac:dyDescent="0.3">
      <c r="A174" s="136"/>
      <c r="B174" s="120"/>
      <c r="C174" s="189"/>
      <c r="D174" s="120"/>
      <c r="E174" s="120"/>
      <c r="F174" s="136"/>
      <c r="G174" s="137"/>
      <c r="H174" s="137"/>
    </row>
    <row r="175" spans="1:8" ht="16.5" x14ac:dyDescent="0.3">
      <c r="A175" s="136"/>
      <c r="B175" s="120"/>
      <c r="C175" s="189"/>
      <c r="D175" s="120"/>
      <c r="E175" s="120"/>
      <c r="F175" s="136"/>
      <c r="G175" s="137"/>
      <c r="H175" s="137"/>
    </row>
    <row r="176" spans="1:8" ht="16.5" x14ac:dyDescent="0.3">
      <c r="A176" s="136"/>
      <c r="B176" s="120"/>
      <c r="C176" s="189"/>
      <c r="D176" s="120"/>
      <c r="E176" s="120"/>
      <c r="F176" s="136"/>
      <c r="G176" s="137"/>
      <c r="H176" s="137"/>
    </row>
    <row r="177" spans="1:8" ht="16.5" x14ac:dyDescent="0.3">
      <c r="A177" s="136"/>
      <c r="B177" s="120"/>
      <c r="C177" s="189"/>
      <c r="D177" s="120"/>
      <c r="E177" s="120"/>
      <c r="F177" s="136"/>
      <c r="G177" s="137"/>
      <c r="H177" s="137"/>
    </row>
    <row r="178" spans="1:8" ht="16.5" x14ac:dyDescent="0.3">
      <c r="A178" s="136"/>
      <c r="B178" s="120"/>
      <c r="C178" s="189"/>
      <c r="D178" s="120"/>
      <c r="E178" s="120"/>
      <c r="F178" s="136"/>
      <c r="G178" s="137"/>
      <c r="H178" s="137"/>
    </row>
    <row r="179" spans="1:8" ht="16.5" x14ac:dyDescent="0.3">
      <c r="A179" s="136"/>
      <c r="B179" s="120"/>
      <c r="C179" s="189"/>
      <c r="D179" s="120"/>
      <c r="E179" s="120"/>
      <c r="F179" s="136"/>
      <c r="G179" s="137"/>
      <c r="H179" s="137"/>
    </row>
    <row r="180" spans="1:8" ht="16.5" x14ac:dyDescent="0.3">
      <c r="A180" s="136"/>
      <c r="B180" s="120"/>
      <c r="C180" s="189"/>
      <c r="D180" s="120"/>
      <c r="E180" s="120"/>
      <c r="F180" s="136"/>
      <c r="G180" s="137"/>
      <c r="H180" s="137"/>
    </row>
    <row r="181" spans="1:8" ht="16.5" x14ac:dyDescent="0.3">
      <c r="A181" s="136"/>
      <c r="B181" s="120"/>
      <c r="C181" s="189"/>
      <c r="D181" s="120"/>
      <c r="E181" s="120"/>
      <c r="F181" s="136"/>
      <c r="G181" s="137"/>
      <c r="H181" s="137"/>
    </row>
    <row r="182" spans="1:8" ht="16.5" x14ac:dyDescent="0.3">
      <c r="A182" s="136"/>
      <c r="B182" s="120"/>
      <c r="C182" s="189"/>
      <c r="D182" s="120"/>
      <c r="E182" s="120"/>
      <c r="F182" s="136"/>
      <c r="G182" s="137"/>
      <c r="H182" s="137"/>
    </row>
    <row r="183" spans="1:8" ht="16.5" x14ac:dyDescent="0.3">
      <c r="A183" s="136"/>
      <c r="B183" s="120"/>
      <c r="C183" s="189"/>
      <c r="D183" s="120"/>
      <c r="E183" s="120"/>
      <c r="F183" s="136"/>
      <c r="G183" s="137"/>
      <c r="H183" s="137"/>
    </row>
    <row r="184" spans="1:8" ht="16.5" x14ac:dyDescent="0.3">
      <c r="A184" s="136"/>
      <c r="B184" s="120"/>
      <c r="C184" s="189"/>
      <c r="D184" s="120"/>
      <c r="E184" s="120"/>
      <c r="F184" s="136"/>
      <c r="G184" s="137"/>
      <c r="H184" s="137"/>
    </row>
    <row r="185" spans="1:8" ht="16.5" x14ac:dyDescent="0.3">
      <c r="A185" s="136"/>
      <c r="B185" s="120"/>
      <c r="C185" s="189"/>
      <c r="D185" s="120"/>
      <c r="E185" s="120"/>
      <c r="F185" s="136"/>
      <c r="G185" s="137"/>
      <c r="H185" s="137"/>
    </row>
    <row r="186" spans="1:8" ht="16.5" x14ac:dyDescent="0.3">
      <c r="A186" s="136"/>
      <c r="B186" s="120"/>
      <c r="C186" s="189"/>
      <c r="D186" s="120"/>
      <c r="E186" s="120"/>
      <c r="F186" s="136"/>
      <c r="G186" s="137"/>
      <c r="H186" s="137"/>
    </row>
    <row r="187" spans="1:8" ht="16.5" x14ac:dyDescent="0.3">
      <c r="A187" s="136"/>
      <c r="B187" s="120"/>
      <c r="C187" s="189"/>
      <c r="D187" s="120"/>
      <c r="E187" s="120"/>
      <c r="F187" s="136"/>
      <c r="G187" s="137"/>
      <c r="H187" s="137"/>
    </row>
    <row r="188" spans="1:8" ht="16.5" x14ac:dyDescent="0.3">
      <c r="A188" s="136"/>
      <c r="B188" s="120"/>
      <c r="C188" s="189"/>
      <c r="D188" s="120"/>
      <c r="E188" s="120"/>
      <c r="F188" s="136"/>
      <c r="G188" s="137"/>
      <c r="H188" s="137"/>
    </row>
    <row r="189" spans="1:8" ht="16.5" x14ac:dyDescent="0.3">
      <c r="A189" s="136"/>
      <c r="B189" s="120"/>
      <c r="C189" s="189"/>
      <c r="D189" s="120"/>
      <c r="E189" s="120"/>
      <c r="F189" s="136"/>
      <c r="G189" s="137"/>
      <c r="H189" s="137"/>
    </row>
    <row r="190" spans="1:8" ht="16.5" x14ac:dyDescent="0.3">
      <c r="A190" s="136"/>
      <c r="B190" s="120"/>
      <c r="C190" s="189"/>
      <c r="D190" s="120"/>
      <c r="E190" s="120"/>
      <c r="F190" s="136"/>
      <c r="G190" s="137"/>
      <c r="H190" s="137"/>
    </row>
    <row r="191" spans="1:8" ht="16.5" x14ac:dyDescent="0.3">
      <c r="A191" s="136"/>
      <c r="B191" s="120"/>
      <c r="C191" s="189"/>
      <c r="D191" s="120"/>
      <c r="E191" s="120"/>
      <c r="F191" s="136"/>
      <c r="G191" s="137"/>
      <c r="H191" s="137"/>
    </row>
    <row r="192" spans="1:8" ht="16.5" x14ac:dyDescent="0.3">
      <c r="A192" s="136"/>
      <c r="B192" s="120"/>
      <c r="C192" s="189"/>
      <c r="D192" s="120"/>
      <c r="E192" s="120"/>
      <c r="F192" s="136"/>
      <c r="G192" s="137"/>
      <c r="H192" s="137"/>
    </row>
    <row r="193" spans="1:8" ht="16.5" x14ac:dyDescent="0.3">
      <c r="A193" s="136"/>
      <c r="B193" s="120"/>
      <c r="C193" s="189"/>
      <c r="D193" s="120"/>
      <c r="E193" s="120"/>
      <c r="F193" s="136"/>
      <c r="G193" s="137"/>
      <c r="H193" s="137"/>
    </row>
    <row r="194" spans="1:8" ht="16.5" x14ac:dyDescent="0.3">
      <c r="A194" s="136"/>
      <c r="B194" s="120"/>
      <c r="C194" s="189"/>
      <c r="D194" s="120"/>
      <c r="E194" s="120"/>
      <c r="F194" s="136"/>
      <c r="G194" s="137"/>
      <c r="H194" s="137"/>
    </row>
    <row r="195" spans="1:8" ht="16.5" x14ac:dyDescent="0.3">
      <c r="A195" s="136"/>
      <c r="B195" s="120"/>
      <c r="C195" s="189"/>
      <c r="D195" s="120"/>
      <c r="E195" s="120"/>
      <c r="F195" s="136"/>
      <c r="G195" s="137"/>
      <c r="H195" s="137"/>
    </row>
    <row r="196" spans="1:8" ht="16.5" x14ac:dyDescent="0.3">
      <c r="A196" s="136"/>
      <c r="B196" s="120"/>
      <c r="C196" s="189"/>
      <c r="D196" s="120"/>
      <c r="E196" s="120"/>
      <c r="F196" s="136"/>
      <c r="G196" s="137"/>
      <c r="H196" s="137"/>
    </row>
    <row r="197" spans="1:8" ht="16.5" x14ac:dyDescent="0.3">
      <c r="A197" s="136"/>
      <c r="B197" s="120"/>
      <c r="C197" s="189"/>
      <c r="D197" s="120"/>
      <c r="E197" s="120"/>
      <c r="F197" s="136"/>
      <c r="G197" s="137"/>
      <c r="H197" s="137"/>
    </row>
    <row r="198" spans="1:8" ht="16.5" x14ac:dyDescent="0.3">
      <c r="A198" s="136"/>
      <c r="B198" s="120"/>
      <c r="C198" s="189"/>
      <c r="D198" s="120"/>
      <c r="E198" s="120"/>
      <c r="F198" s="136"/>
      <c r="G198" s="137"/>
      <c r="H198" s="137"/>
    </row>
    <row r="199" spans="1:8" ht="16.5" x14ac:dyDescent="0.3">
      <c r="A199" s="136"/>
      <c r="B199" s="120"/>
      <c r="C199" s="189"/>
      <c r="D199" s="120"/>
      <c r="E199" s="120"/>
      <c r="F199" s="136"/>
      <c r="G199" s="137"/>
      <c r="H199" s="137"/>
    </row>
    <row r="200" spans="1:8" ht="16.5" x14ac:dyDescent="0.3">
      <c r="A200" s="136"/>
      <c r="B200" s="120"/>
      <c r="C200" s="189"/>
      <c r="D200" s="120"/>
      <c r="E200" s="120"/>
      <c r="F200" s="136"/>
      <c r="G200" s="137"/>
      <c r="H200" s="137"/>
    </row>
    <row r="201" spans="1:8" ht="16.5" x14ac:dyDescent="0.3">
      <c r="A201" s="136"/>
      <c r="B201" s="120"/>
      <c r="C201" s="189"/>
      <c r="D201" s="120"/>
      <c r="E201" s="120"/>
      <c r="F201" s="136"/>
      <c r="G201" s="137"/>
      <c r="H201" s="137"/>
    </row>
    <row r="202" spans="1:8" ht="16.5" x14ac:dyDescent="0.3">
      <c r="A202" s="136"/>
      <c r="B202" s="120"/>
      <c r="C202" s="189"/>
      <c r="D202" s="120"/>
      <c r="E202" s="120"/>
      <c r="F202" s="136"/>
      <c r="G202" s="137"/>
      <c r="H202" s="137"/>
    </row>
    <row r="203" spans="1:8" ht="16.5" x14ac:dyDescent="0.3">
      <c r="A203" s="136"/>
      <c r="B203" s="120"/>
      <c r="C203" s="189"/>
      <c r="D203" s="120"/>
      <c r="E203" s="120"/>
      <c r="F203" s="136"/>
      <c r="G203" s="137"/>
      <c r="H203" s="137"/>
    </row>
    <row r="204" spans="1:8" ht="16.5" x14ac:dyDescent="0.3">
      <c r="A204" s="136"/>
      <c r="B204" s="120"/>
      <c r="C204" s="189"/>
      <c r="D204" s="120"/>
      <c r="E204" s="120"/>
      <c r="F204" s="136"/>
      <c r="G204" s="137"/>
      <c r="H204" s="137"/>
    </row>
    <row r="205" spans="1:8" ht="16.5" x14ac:dyDescent="0.3">
      <c r="A205" s="136"/>
      <c r="B205" s="120"/>
      <c r="C205" s="189"/>
      <c r="D205" s="120"/>
      <c r="E205" s="120"/>
      <c r="F205" s="136"/>
      <c r="G205" s="137"/>
      <c r="H205" s="137"/>
    </row>
    <row r="206" spans="1:8" ht="16.5" x14ac:dyDescent="0.3">
      <c r="A206" s="136"/>
      <c r="B206" s="120"/>
      <c r="C206" s="189"/>
      <c r="D206" s="120"/>
      <c r="E206" s="120"/>
      <c r="F206" s="136"/>
      <c r="G206" s="137"/>
      <c r="H206" s="137"/>
    </row>
    <row r="207" spans="1:8" ht="16.5" x14ac:dyDescent="0.3">
      <c r="A207" s="136"/>
      <c r="B207" s="120"/>
      <c r="C207" s="189"/>
      <c r="D207" s="120"/>
      <c r="E207" s="120"/>
      <c r="F207" s="136"/>
      <c r="G207" s="137"/>
      <c r="H207" s="137"/>
    </row>
    <row r="208" spans="1:8" ht="16.5" x14ac:dyDescent="0.3">
      <c r="A208" s="136"/>
      <c r="B208" s="120"/>
      <c r="C208" s="189"/>
      <c r="D208" s="120"/>
      <c r="E208" s="120"/>
      <c r="F208" s="136"/>
      <c r="G208" s="137"/>
      <c r="H208" s="137"/>
    </row>
    <row r="209" spans="1:8" ht="16.5" x14ac:dyDescent="0.3">
      <c r="A209" s="136"/>
      <c r="B209" s="120"/>
      <c r="C209" s="189"/>
      <c r="D209" s="120"/>
      <c r="E209" s="120"/>
      <c r="F209" s="136"/>
      <c r="G209" s="137"/>
      <c r="H209" s="137"/>
    </row>
    <row r="210" spans="1:8" ht="16.5" x14ac:dyDescent="0.3">
      <c r="A210" s="136"/>
      <c r="B210" s="120"/>
      <c r="C210" s="189"/>
      <c r="D210" s="120"/>
      <c r="E210" s="120"/>
      <c r="F210" s="136"/>
      <c r="G210" s="137"/>
      <c r="H210" s="137"/>
    </row>
    <row r="211" spans="1:8" ht="16.5" x14ac:dyDescent="0.3">
      <c r="A211" s="136"/>
      <c r="B211" s="120"/>
      <c r="C211" s="189"/>
      <c r="D211" s="120"/>
      <c r="E211" s="120"/>
      <c r="F211" s="136"/>
      <c r="G211" s="137"/>
      <c r="H211" s="137"/>
    </row>
    <row r="212" spans="1:8" ht="16.5" x14ac:dyDescent="0.3">
      <c r="A212" s="136"/>
      <c r="B212" s="120"/>
      <c r="C212" s="189"/>
      <c r="D212" s="120"/>
      <c r="E212" s="120"/>
      <c r="F212" s="136"/>
      <c r="G212" s="137"/>
      <c r="H212" s="137"/>
    </row>
    <row r="213" spans="1:8" ht="16.5" x14ac:dyDescent="0.3">
      <c r="A213" s="136"/>
      <c r="B213" s="120"/>
      <c r="C213" s="189"/>
      <c r="D213" s="120"/>
      <c r="E213" s="120"/>
      <c r="F213" s="136"/>
      <c r="G213" s="137"/>
      <c r="H213" s="137"/>
    </row>
    <row r="214" spans="1:8" ht="16.5" x14ac:dyDescent="0.3">
      <c r="A214" s="136"/>
      <c r="B214" s="120"/>
      <c r="C214" s="189"/>
      <c r="D214" s="120"/>
      <c r="E214" s="120"/>
      <c r="F214" s="136"/>
      <c r="G214" s="137"/>
      <c r="H214" s="137"/>
    </row>
    <row r="215" spans="1:8" ht="16.5" x14ac:dyDescent="0.3">
      <c r="A215" s="136"/>
      <c r="B215" s="120"/>
      <c r="C215" s="189"/>
      <c r="D215" s="120"/>
      <c r="E215" s="120"/>
      <c r="F215" s="136"/>
      <c r="G215" s="137"/>
      <c r="H215" s="137"/>
    </row>
    <row r="216" spans="1:8" ht="16.5" x14ac:dyDescent="0.3">
      <c r="A216" s="136"/>
      <c r="B216" s="120"/>
      <c r="C216" s="189"/>
      <c r="D216" s="120"/>
      <c r="E216" s="120"/>
      <c r="F216" s="136"/>
      <c r="G216" s="137"/>
      <c r="H216" s="137"/>
    </row>
    <row r="217" spans="1:8" ht="16.5" x14ac:dyDescent="0.3">
      <c r="A217" s="136"/>
      <c r="B217" s="120"/>
      <c r="C217" s="189"/>
      <c r="D217" s="120"/>
      <c r="E217" s="120"/>
      <c r="F217" s="136"/>
      <c r="G217" s="137"/>
      <c r="H217" s="137"/>
    </row>
    <row r="218" spans="1:8" ht="16.5" x14ac:dyDescent="0.3">
      <c r="A218" s="136"/>
      <c r="B218" s="120"/>
      <c r="C218" s="189"/>
      <c r="D218" s="120"/>
      <c r="E218" s="120"/>
      <c r="F218" s="136"/>
      <c r="G218" s="137"/>
      <c r="H218" s="137"/>
    </row>
    <row r="219" spans="1:8" ht="16.5" x14ac:dyDescent="0.3">
      <c r="A219" s="136"/>
      <c r="B219" s="120"/>
      <c r="C219" s="189"/>
      <c r="D219" s="120"/>
      <c r="E219" s="120"/>
      <c r="F219" s="136"/>
      <c r="G219" s="137"/>
      <c r="H219" s="137"/>
    </row>
    <row r="220" spans="1:8" ht="16.5" x14ac:dyDescent="0.3">
      <c r="A220" s="136"/>
      <c r="B220" s="120"/>
      <c r="C220" s="189"/>
      <c r="D220" s="120"/>
      <c r="E220" s="120"/>
      <c r="F220" s="136"/>
      <c r="G220" s="137"/>
      <c r="H220" s="137"/>
    </row>
    <row r="221" spans="1:8" ht="16.5" x14ac:dyDescent="0.3">
      <c r="A221" s="136"/>
      <c r="B221" s="120"/>
      <c r="C221" s="189"/>
      <c r="D221" s="120"/>
      <c r="E221" s="120"/>
      <c r="F221" s="136"/>
      <c r="G221" s="137"/>
      <c r="H221" s="137"/>
    </row>
    <row r="222" spans="1:8" ht="16.5" x14ac:dyDescent="0.3">
      <c r="A222" s="136"/>
      <c r="B222" s="120"/>
      <c r="C222" s="189"/>
      <c r="D222" s="120"/>
      <c r="E222" s="120"/>
      <c r="F222" s="136"/>
      <c r="G222" s="137"/>
      <c r="H222" s="137"/>
    </row>
    <row r="223" spans="1:8" ht="16.5" x14ac:dyDescent="0.3">
      <c r="A223" s="136"/>
      <c r="B223" s="120"/>
      <c r="C223" s="189"/>
      <c r="D223" s="120"/>
      <c r="E223" s="120"/>
      <c r="F223" s="136"/>
      <c r="G223" s="137"/>
      <c r="H223" s="137"/>
    </row>
    <row r="224" spans="1:8" ht="16.5" x14ac:dyDescent="0.3">
      <c r="A224" s="136"/>
      <c r="B224" s="120"/>
      <c r="C224" s="189"/>
      <c r="D224" s="120"/>
      <c r="E224" s="120"/>
      <c r="F224" s="136"/>
      <c r="G224" s="137"/>
      <c r="H224" s="137"/>
    </row>
    <row r="225" spans="1:8" ht="16.5" x14ac:dyDescent="0.3">
      <c r="A225" s="136"/>
      <c r="B225" s="120"/>
      <c r="C225" s="189"/>
      <c r="D225" s="120"/>
      <c r="E225" s="120"/>
      <c r="F225" s="136"/>
      <c r="G225" s="137"/>
      <c r="H225" s="137"/>
    </row>
    <row r="226" spans="1:8" ht="16.5" x14ac:dyDescent="0.3">
      <c r="A226" s="136"/>
      <c r="B226" s="120"/>
      <c r="C226" s="189"/>
      <c r="D226" s="120"/>
      <c r="E226" s="120"/>
      <c r="F226" s="136"/>
      <c r="G226" s="137"/>
      <c r="H226" s="137"/>
    </row>
    <row r="227" spans="1:8" ht="16.5" x14ac:dyDescent="0.3">
      <c r="A227" s="136"/>
      <c r="B227" s="120"/>
      <c r="C227" s="189"/>
      <c r="D227" s="120"/>
      <c r="E227" s="120"/>
      <c r="F227" s="136"/>
      <c r="G227" s="137"/>
      <c r="H227" s="137"/>
    </row>
    <row r="228" spans="1:8" ht="16.5" x14ac:dyDescent="0.3">
      <c r="A228" s="136"/>
      <c r="B228" s="120"/>
      <c r="C228" s="189"/>
      <c r="D228" s="120"/>
      <c r="E228" s="120"/>
      <c r="F228" s="136"/>
      <c r="G228" s="137"/>
      <c r="H228" s="137"/>
    </row>
    <row r="229" spans="1:8" ht="16.5" x14ac:dyDescent="0.3">
      <c r="A229" s="136"/>
      <c r="B229" s="120"/>
      <c r="C229" s="189"/>
      <c r="D229" s="120"/>
      <c r="E229" s="120"/>
      <c r="F229" s="136"/>
      <c r="G229" s="137"/>
      <c r="H229" s="137"/>
    </row>
    <row r="230" spans="1:8" ht="16.5" x14ac:dyDescent="0.3">
      <c r="A230" s="136"/>
      <c r="B230" s="120"/>
      <c r="C230" s="189"/>
      <c r="D230" s="120"/>
      <c r="E230" s="120"/>
      <c r="F230" s="136"/>
      <c r="G230" s="137"/>
      <c r="H230" s="137"/>
    </row>
    <row r="231" spans="1:8" ht="16.5" x14ac:dyDescent="0.3">
      <c r="A231" s="136"/>
      <c r="B231" s="120"/>
      <c r="C231" s="189"/>
      <c r="D231" s="120"/>
      <c r="E231" s="120"/>
      <c r="F231" s="136"/>
      <c r="G231" s="137"/>
      <c r="H231" s="137"/>
    </row>
    <row r="232" spans="1:8" ht="16.5" x14ac:dyDescent="0.3">
      <c r="A232" s="136"/>
      <c r="B232" s="120"/>
      <c r="C232" s="189"/>
      <c r="D232" s="120"/>
      <c r="E232" s="120"/>
      <c r="F232" s="136"/>
      <c r="G232" s="137"/>
      <c r="H232" s="137"/>
    </row>
    <row r="233" spans="1:8" ht="16.5" x14ac:dyDescent="0.3">
      <c r="A233" s="136"/>
      <c r="B233" s="120"/>
      <c r="C233" s="189"/>
      <c r="D233" s="120"/>
      <c r="E233" s="120"/>
      <c r="F233" s="136"/>
      <c r="G233" s="137"/>
      <c r="H233" s="137"/>
    </row>
    <row r="234" spans="1:8" ht="16.5" x14ac:dyDescent="0.3">
      <c r="A234" s="136"/>
      <c r="B234" s="120"/>
      <c r="C234" s="189"/>
      <c r="D234" s="120"/>
      <c r="E234" s="120"/>
      <c r="F234" s="136"/>
      <c r="G234" s="137"/>
      <c r="H234" s="137"/>
    </row>
    <row r="235" spans="1:8" ht="16.5" x14ac:dyDescent="0.3">
      <c r="A235" s="136"/>
      <c r="B235" s="120"/>
      <c r="C235" s="189"/>
      <c r="D235" s="120"/>
      <c r="E235" s="120"/>
      <c r="F235" s="136"/>
      <c r="G235" s="137"/>
      <c r="H235" s="137"/>
    </row>
    <row r="236" spans="1:8" ht="16.5" x14ac:dyDescent="0.3">
      <c r="A236" s="136"/>
      <c r="B236" s="120"/>
      <c r="C236" s="189"/>
      <c r="D236" s="120"/>
      <c r="E236" s="120"/>
      <c r="F236" s="136"/>
      <c r="G236" s="137"/>
      <c r="H236" s="137"/>
    </row>
    <row r="237" spans="1:8" ht="16.5" x14ac:dyDescent="0.3">
      <c r="A237" s="136"/>
      <c r="B237" s="120"/>
      <c r="C237" s="189"/>
      <c r="D237" s="120"/>
      <c r="E237" s="120"/>
      <c r="F237" s="136"/>
      <c r="G237" s="137"/>
      <c r="H237" s="137"/>
    </row>
    <row r="238" spans="1:8" ht="16.5" x14ac:dyDescent="0.3">
      <c r="A238" s="136"/>
      <c r="B238" s="120"/>
      <c r="C238" s="189"/>
      <c r="D238" s="120"/>
      <c r="E238" s="120"/>
      <c r="F238" s="136"/>
      <c r="G238" s="137"/>
      <c r="H238" s="137"/>
    </row>
    <row r="239" spans="1:8" ht="16.5" x14ac:dyDescent="0.3">
      <c r="A239" s="136"/>
      <c r="B239" s="120"/>
      <c r="C239" s="189"/>
      <c r="D239" s="120"/>
      <c r="E239" s="120"/>
      <c r="F239" s="136"/>
      <c r="G239" s="137"/>
      <c r="H239" s="137"/>
    </row>
    <row r="240" spans="1:8" ht="16.5" x14ac:dyDescent="0.3">
      <c r="A240" s="136"/>
      <c r="B240" s="120"/>
      <c r="C240" s="189"/>
      <c r="D240" s="120"/>
      <c r="E240" s="120"/>
      <c r="F240" s="136"/>
      <c r="G240" s="137"/>
      <c r="H240" s="137"/>
    </row>
    <row r="241" spans="1:8" ht="16.5" x14ac:dyDescent="0.3">
      <c r="A241" s="136"/>
      <c r="B241" s="120"/>
      <c r="C241" s="189"/>
      <c r="D241" s="120"/>
      <c r="E241" s="120"/>
      <c r="F241" s="136"/>
      <c r="G241" s="137"/>
      <c r="H241" s="137"/>
    </row>
    <row r="242" spans="1:8" ht="16.5" x14ac:dyDescent="0.3">
      <c r="A242" s="136"/>
      <c r="B242" s="120"/>
      <c r="C242" s="189"/>
      <c r="D242" s="120"/>
      <c r="E242" s="120"/>
      <c r="F242" s="136"/>
      <c r="G242" s="137"/>
      <c r="H242" s="137"/>
    </row>
    <row r="243" spans="1:8" ht="16.5" x14ac:dyDescent="0.3">
      <c r="A243" s="136"/>
      <c r="B243" s="120"/>
      <c r="C243" s="189"/>
      <c r="D243" s="120"/>
      <c r="E243" s="120"/>
      <c r="F243" s="136"/>
      <c r="G243" s="137"/>
      <c r="H243" s="137"/>
    </row>
    <row r="244" spans="1:8" ht="16.5" x14ac:dyDescent="0.3">
      <c r="A244" s="136"/>
      <c r="B244" s="120"/>
      <c r="C244" s="189"/>
      <c r="D244" s="120"/>
      <c r="E244" s="120"/>
      <c r="F244" s="136"/>
      <c r="G244" s="137"/>
      <c r="H244" s="137"/>
    </row>
    <row r="245" spans="1:8" ht="16.5" x14ac:dyDescent="0.3">
      <c r="A245" s="136"/>
      <c r="B245" s="120"/>
      <c r="C245" s="189"/>
      <c r="D245" s="120"/>
      <c r="E245" s="120"/>
      <c r="F245" s="136"/>
      <c r="G245" s="137"/>
      <c r="H245" s="137"/>
    </row>
    <row r="246" spans="1:8" ht="16.5" x14ac:dyDescent="0.3">
      <c r="A246" s="136"/>
      <c r="B246" s="120"/>
      <c r="C246" s="189"/>
      <c r="D246" s="120"/>
      <c r="E246" s="120"/>
      <c r="F246" s="136"/>
      <c r="G246" s="137"/>
      <c r="H246" s="137"/>
    </row>
    <row r="247" spans="1:8" ht="16.5" x14ac:dyDescent="0.3">
      <c r="A247" s="136"/>
      <c r="B247" s="120"/>
      <c r="C247" s="189"/>
      <c r="D247" s="120"/>
      <c r="E247" s="120"/>
      <c r="F247" s="136"/>
      <c r="G247" s="137"/>
      <c r="H247" s="137"/>
    </row>
    <row r="248" spans="1:8" ht="16.5" x14ac:dyDescent="0.3">
      <c r="A248" s="136"/>
      <c r="B248" s="120"/>
      <c r="C248" s="189"/>
      <c r="D248" s="120"/>
      <c r="E248" s="120"/>
      <c r="F248" s="136"/>
      <c r="G248" s="137"/>
      <c r="H248" s="137"/>
    </row>
    <row r="249" spans="1:8" ht="16.5" x14ac:dyDescent="0.3">
      <c r="A249" s="136"/>
      <c r="B249" s="120"/>
      <c r="C249" s="189"/>
      <c r="D249" s="120"/>
      <c r="E249" s="120"/>
      <c r="F249" s="136"/>
      <c r="G249" s="137"/>
      <c r="H249" s="137"/>
    </row>
    <row r="250" spans="1:8" ht="16.5" x14ac:dyDescent="0.3">
      <c r="A250" s="136"/>
      <c r="B250" s="120"/>
      <c r="C250" s="189"/>
      <c r="D250" s="120"/>
      <c r="E250" s="120"/>
      <c r="F250" s="136"/>
      <c r="G250" s="137"/>
      <c r="H250" s="137"/>
    </row>
    <row r="251" spans="1:8" ht="16.5" x14ac:dyDescent="0.3">
      <c r="A251" s="136"/>
      <c r="B251" s="120"/>
      <c r="C251" s="189"/>
      <c r="D251" s="120"/>
      <c r="E251" s="120"/>
      <c r="F251" s="136"/>
      <c r="G251" s="137"/>
      <c r="H251" s="137"/>
    </row>
    <row r="252" spans="1:8" ht="16.5" x14ac:dyDescent="0.3">
      <c r="A252" s="136"/>
      <c r="B252" s="120"/>
      <c r="C252" s="189"/>
      <c r="D252" s="120"/>
      <c r="E252" s="120"/>
      <c r="F252" s="136"/>
      <c r="G252" s="137"/>
      <c r="H252" s="137"/>
    </row>
    <row r="253" spans="1:8" ht="16.5" x14ac:dyDescent="0.3">
      <c r="A253" s="136"/>
      <c r="B253" s="120"/>
      <c r="C253" s="189"/>
      <c r="D253" s="120"/>
      <c r="E253" s="120"/>
      <c r="F253" s="136"/>
      <c r="G253" s="137"/>
      <c r="H253" s="137"/>
    </row>
    <row r="254" spans="1:8" ht="16.5" x14ac:dyDescent="0.3">
      <c r="A254" s="136"/>
      <c r="B254" s="120"/>
      <c r="C254" s="189"/>
      <c r="D254" s="120"/>
      <c r="E254" s="120"/>
      <c r="F254" s="136"/>
      <c r="G254" s="137"/>
      <c r="H254" s="137"/>
    </row>
    <row r="255" spans="1:8" ht="16.5" x14ac:dyDescent="0.3">
      <c r="A255" s="136"/>
      <c r="B255" s="120"/>
      <c r="C255" s="189"/>
      <c r="D255" s="120"/>
      <c r="E255" s="120"/>
      <c r="F255" s="136"/>
      <c r="G255" s="137"/>
      <c r="H255" s="137"/>
    </row>
    <row r="256" spans="1:8" ht="16.5" x14ac:dyDescent="0.3">
      <c r="A256" s="136"/>
      <c r="B256" s="120"/>
      <c r="C256" s="189"/>
      <c r="D256" s="120"/>
      <c r="E256" s="120"/>
      <c r="F256" s="136"/>
      <c r="G256" s="137"/>
      <c r="H256" s="137"/>
    </row>
    <row r="257" spans="1:8" ht="16.5" x14ac:dyDescent="0.3">
      <c r="A257" s="136"/>
      <c r="B257" s="120"/>
      <c r="C257" s="189"/>
      <c r="D257" s="120"/>
      <c r="E257" s="120"/>
      <c r="F257" s="136"/>
      <c r="G257" s="137"/>
      <c r="H257" s="137"/>
    </row>
    <row r="258" spans="1:8" ht="16.5" x14ac:dyDescent="0.3">
      <c r="A258" s="136"/>
      <c r="B258" s="120"/>
      <c r="C258" s="189"/>
      <c r="D258" s="120"/>
      <c r="E258" s="120"/>
      <c r="F258" s="136"/>
      <c r="G258" s="137"/>
      <c r="H258" s="137"/>
    </row>
    <row r="259" spans="1:8" ht="16.5" x14ac:dyDescent="0.3">
      <c r="A259" s="136"/>
      <c r="B259" s="120"/>
      <c r="C259" s="189"/>
      <c r="D259" s="120"/>
      <c r="E259" s="120"/>
      <c r="F259" s="136"/>
      <c r="G259" s="137"/>
      <c r="H259" s="137"/>
    </row>
    <row r="260" spans="1:8" ht="16.5" x14ac:dyDescent="0.3">
      <c r="A260" s="136"/>
      <c r="B260" s="120"/>
      <c r="C260" s="136"/>
      <c r="D260" s="120"/>
      <c r="E260" s="120"/>
      <c r="F260" s="136"/>
      <c r="G260" s="137"/>
      <c r="H260" s="137"/>
    </row>
    <row r="261" spans="1:8" ht="16.5" x14ac:dyDescent="0.3">
      <c r="A261" s="136"/>
      <c r="B261" s="120"/>
      <c r="C261" s="136"/>
      <c r="D261" s="120"/>
      <c r="E261" s="120"/>
      <c r="F261" s="136"/>
      <c r="G261" s="137"/>
      <c r="H261" s="137"/>
    </row>
    <row r="262" spans="1:8" ht="16.5" x14ac:dyDescent="0.3">
      <c r="A262" s="136"/>
      <c r="B262" s="120"/>
      <c r="C262" s="136"/>
      <c r="D262" s="120"/>
      <c r="E262" s="120"/>
      <c r="F262" s="136"/>
      <c r="G262" s="137"/>
      <c r="H262" s="137"/>
    </row>
    <row r="263" spans="1:8" ht="16.5" x14ac:dyDescent="0.3">
      <c r="A263" s="136"/>
      <c r="B263" s="120"/>
      <c r="C263" s="136"/>
      <c r="D263" s="120"/>
      <c r="E263" s="120"/>
      <c r="F263" s="136"/>
      <c r="G263" s="137"/>
      <c r="H263" s="137"/>
    </row>
    <row r="264" spans="1:8" ht="16.5" x14ac:dyDescent="0.3">
      <c r="A264" s="136"/>
      <c r="B264" s="120"/>
      <c r="C264" s="136"/>
      <c r="D264" s="120"/>
      <c r="E264" s="120"/>
      <c r="F264" s="136"/>
      <c r="G264" s="137"/>
      <c r="H264" s="137"/>
    </row>
    <row r="265" spans="1:8" ht="16.5" x14ac:dyDescent="0.3">
      <c r="A265" s="136"/>
      <c r="B265" s="120"/>
      <c r="C265" s="136"/>
      <c r="D265" s="120"/>
      <c r="E265" s="120"/>
      <c r="F265" s="136"/>
      <c r="G265" s="137"/>
      <c r="H265" s="137"/>
    </row>
    <row r="266" spans="1:8" ht="16.5" x14ac:dyDescent="0.3">
      <c r="A266" s="136"/>
      <c r="B266" s="120"/>
      <c r="C266" s="136"/>
      <c r="D266" s="120"/>
      <c r="E266" s="120"/>
      <c r="F266" s="136"/>
      <c r="G266" s="137"/>
      <c r="H266" s="137"/>
    </row>
    <row r="267" spans="1:8" ht="16.5" x14ac:dyDescent="0.3">
      <c r="A267" s="136"/>
      <c r="B267" s="120"/>
      <c r="C267" s="136"/>
      <c r="D267" s="120"/>
      <c r="E267" s="120"/>
      <c r="F267" s="136"/>
      <c r="G267" s="137"/>
      <c r="H267" s="137"/>
    </row>
  </sheetData>
  <mergeCells count="14">
    <mergeCell ref="A154:G154"/>
    <mergeCell ref="A38:G38"/>
    <mergeCell ref="A1:H1"/>
    <mergeCell ref="A4:H4"/>
    <mergeCell ref="B7:C7"/>
    <mergeCell ref="A17:G17"/>
    <mergeCell ref="A5:H5"/>
    <mergeCell ref="A136:G136"/>
    <mergeCell ref="A143:G143"/>
    <mergeCell ref="A87:G87"/>
    <mergeCell ref="A148:G148"/>
    <mergeCell ref="A56:G56"/>
    <mergeCell ref="A2:H2"/>
    <mergeCell ref="A3:H3"/>
  </mergeCells>
  <printOptions horizontalCentered="1"/>
  <pageMargins left="0.59055118110236227" right="0.31496062992125984" top="0.55118110236220474" bottom="0.31496062992125984" header="0.31496062992125984" footer="0.31496062992125984"/>
  <pageSetup paperSize="256" scale="83" orientation="portrait" horizontalDpi="4294967293" r:id="rId1"/>
  <rowBreaks count="2" manualBreakCount="2">
    <brk id="56" max="7" man="1"/>
    <brk id="110" max="7" man="1"/>
  </rowBreaks>
  <ignoredErrors>
    <ignoredError sqref="D42 G42 D47 G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1"/>
  <sheetViews>
    <sheetView view="pageBreakPreview" topLeftCell="A142" zoomScaleNormal="100" zoomScaleSheetLayoutView="100" workbookViewId="0">
      <selection activeCell="D152" sqref="D152"/>
    </sheetView>
  </sheetViews>
  <sheetFormatPr defaultColWidth="8.85546875" defaultRowHeight="15" x14ac:dyDescent="0.25"/>
  <cols>
    <col min="1" max="1" width="3.140625" style="135" customWidth="1"/>
    <col min="2" max="2" width="38.85546875" style="135" customWidth="1"/>
    <col min="3" max="3" width="7.7109375" style="230" customWidth="1"/>
    <col min="4" max="4" width="5.28515625" style="230" customWidth="1"/>
    <col min="5" max="5" width="6.28515625" style="135" customWidth="1"/>
    <col min="6" max="6" width="5.28515625" style="135" customWidth="1"/>
    <col min="7" max="7" width="4.85546875" style="135" customWidth="1"/>
    <col min="8" max="8" width="6.28515625" style="135" customWidth="1"/>
    <col min="9" max="9" width="7.42578125" style="135" customWidth="1"/>
    <col min="10" max="10" width="4.85546875" style="135" customWidth="1"/>
    <col min="11" max="16384" width="8.85546875" style="135"/>
  </cols>
  <sheetData>
    <row r="1" spans="1:13" ht="20.25" x14ac:dyDescent="0.3">
      <c r="A1" s="484" t="s">
        <v>212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3" ht="20.25" x14ac:dyDescent="0.3">
      <c r="A2" s="485" t="s">
        <v>579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3" ht="17.25" thickBot="1" x14ac:dyDescent="0.35">
      <c r="A3" s="136"/>
      <c r="B3" s="136"/>
      <c r="C3" s="348"/>
      <c r="D3" s="348"/>
      <c r="E3" s="136"/>
      <c r="F3" s="136"/>
      <c r="G3" s="136"/>
      <c r="H3" s="136"/>
      <c r="I3" s="136"/>
      <c r="J3" s="136"/>
    </row>
    <row r="4" spans="1:13" ht="17.25" thickTop="1" x14ac:dyDescent="0.25">
      <c r="A4" s="486" t="s">
        <v>213</v>
      </c>
      <c r="B4" s="488" t="s">
        <v>214</v>
      </c>
      <c r="C4" s="488" t="s">
        <v>215</v>
      </c>
      <c r="D4" s="488"/>
      <c r="E4" s="488"/>
      <c r="F4" s="488"/>
      <c r="G4" s="488"/>
      <c r="H4" s="488"/>
      <c r="I4" s="488"/>
      <c r="J4" s="490"/>
    </row>
    <row r="5" spans="1:13" ht="17.25" thickBot="1" x14ac:dyDescent="0.3">
      <c r="A5" s="487"/>
      <c r="B5" s="489"/>
      <c r="C5" s="349" t="s">
        <v>216</v>
      </c>
      <c r="D5" s="349" t="s">
        <v>217</v>
      </c>
      <c r="E5" s="350" t="s">
        <v>218</v>
      </c>
      <c r="F5" s="350" t="s">
        <v>219</v>
      </c>
      <c r="G5" s="350" t="s">
        <v>206</v>
      </c>
      <c r="H5" s="350" t="s">
        <v>220</v>
      </c>
      <c r="I5" s="350" t="s">
        <v>204</v>
      </c>
      <c r="J5" s="351" t="s">
        <v>221</v>
      </c>
    </row>
    <row r="6" spans="1:13" ht="16.5" x14ac:dyDescent="0.3">
      <c r="A6" s="352" t="s">
        <v>323</v>
      </c>
      <c r="B6" s="353" t="s">
        <v>55</v>
      </c>
      <c r="C6" s="354"/>
      <c r="D6" s="354"/>
      <c r="E6" s="355"/>
      <c r="F6" s="355"/>
      <c r="G6" s="355"/>
      <c r="H6" s="355"/>
      <c r="I6" s="355"/>
      <c r="J6" s="356"/>
    </row>
    <row r="7" spans="1:13" ht="17.25" thickBot="1" x14ac:dyDescent="0.35">
      <c r="A7" s="357"/>
      <c r="B7" s="358"/>
      <c r="C7" s="359"/>
      <c r="D7" s="359"/>
      <c r="E7" s="360"/>
      <c r="F7" s="360"/>
      <c r="G7" s="360"/>
      <c r="H7" s="360"/>
      <c r="I7" s="360"/>
      <c r="J7" s="361"/>
    </row>
    <row r="8" spans="1:13" ht="16.5" x14ac:dyDescent="0.3">
      <c r="A8" s="352" t="s">
        <v>324</v>
      </c>
      <c r="B8" s="353" t="s">
        <v>309</v>
      </c>
      <c r="C8" s="354"/>
      <c r="D8" s="354"/>
      <c r="E8" s="355"/>
      <c r="F8" s="355"/>
      <c r="G8" s="355"/>
      <c r="H8" s="355"/>
      <c r="I8" s="355"/>
      <c r="J8" s="356"/>
    </row>
    <row r="9" spans="1:13" ht="16.5" x14ac:dyDescent="0.3">
      <c r="A9" s="362" t="s">
        <v>325</v>
      </c>
      <c r="B9" s="363" t="s">
        <v>326</v>
      </c>
      <c r="C9" s="364"/>
      <c r="D9" s="359"/>
      <c r="E9" s="360"/>
      <c r="F9" s="360"/>
      <c r="G9" s="360"/>
      <c r="H9" s="360"/>
      <c r="I9" s="360"/>
      <c r="J9" s="361"/>
    </row>
    <row r="10" spans="1:13" ht="18" x14ac:dyDescent="0.3">
      <c r="A10" s="365">
        <v>1</v>
      </c>
      <c r="B10" s="366" t="s">
        <v>312</v>
      </c>
      <c r="C10" s="367">
        <v>3.3</v>
      </c>
      <c r="D10" s="368">
        <v>4.8</v>
      </c>
      <c r="E10" s="369">
        <v>0.12</v>
      </c>
      <c r="F10" s="366"/>
      <c r="G10" s="369"/>
      <c r="H10" s="369">
        <v>6</v>
      </c>
      <c r="I10" s="369">
        <f>C10*D10*E10*H10</f>
        <v>11.404799999999998</v>
      </c>
      <c r="J10" s="370" t="s">
        <v>281</v>
      </c>
    </row>
    <row r="11" spans="1:13" ht="16.5" x14ac:dyDescent="0.3">
      <c r="A11" s="365"/>
      <c r="B11" s="366"/>
      <c r="C11" s="368" t="s">
        <v>278</v>
      </c>
      <c r="D11" s="368"/>
      <c r="E11" s="369"/>
      <c r="F11" s="366"/>
      <c r="G11" s="369"/>
      <c r="H11" s="369"/>
      <c r="I11" s="369"/>
      <c r="J11" s="370"/>
      <c r="M11" s="135">
        <f>3.19*1.195</f>
        <v>3.8120500000000002</v>
      </c>
    </row>
    <row r="12" spans="1:13" ht="18" x14ac:dyDescent="0.3">
      <c r="A12" s="365">
        <v>2</v>
      </c>
      <c r="B12" s="366" t="s">
        <v>318</v>
      </c>
      <c r="C12" s="367">
        <f>2.32*1.195</f>
        <v>2.7723999999999998</v>
      </c>
      <c r="D12" s="368">
        <v>1.2</v>
      </c>
      <c r="E12" s="369">
        <v>0.12</v>
      </c>
      <c r="F12" s="366"/>
      <c r="G12" s="369"/>
      <c r="H12" s="369">
        <v>1</v>
      </c>
      <c r="I12" s="369">
        <f>C12*D12*E12*H12</f>
        <v>0.39922559999999996</v>
      </c>
      <c r="J12" s="370" t="s">
        <v>281</v>
      </c>
    </row>
    <row r="13" spans="1:13" ht="18" x14ac:dyDescent="0.3">
      <c r="A13" s="365"/>
      <c r="B13" s="366"/>
      <c r="C13" s="367">
        <v>3.81</v>
      </c>
      <c r="D13" s="368">
        <v>1.2</v>
      </c>
      <c r="E13" s="369">
        <v>0.12</v>
      </c>
      <c r="F13" s="366"/>
      <c r="G13" s="369"/>
      <c r="H13" s="369">
        <v>1</v>
      </c>
      <c r="I13" s="369">
        <f>C13*D13*E13*H13</f>
        <v>0.54864000000000002</v>
      </c>
      <c r="J13" s="370" t="s">
        <v>281</v>
      </c>
    </row>
    <row r="14" spans="1:13" ht="18" x14ac:dyDescent="0.3">
      <c r="A14" s="365"/>
      <c r="B14" s="366"/>
      <c r="C14" s="367">
        <v>1.2</v>
      </c>
      <c r="D14" s="368">
        <v>1.2</v>
      </c>
      <c r="E14" s="369">
        <v>0.12</v>
      </c>
      <c r="F14" s="366"/>
      <c r="G14" s="369"/>
      <c r="H14" s="369">
        <v>1</v>
      </c>
      <c r="I14" s="369">
        <f>C14*D14*E14*H14</f>
        <v>0.17279999999999998</v>
      </c>
      <c r="J14" s="370" t="s">
        <v>281</v>
      </c>
    </row>
    <row r="15" spans="1:13" ht="16.5" x14ac:dyDescent="0.3">
      <c r="A15" s="365"/>
      <c r="B15" s="366"/>
      <c r="C15" s="367"/>
      <c r="D15" s="368"/>
      <c r="E15" s="369"/>
      <c r="F15" s="366"/>
      <c r="G15" s="369"/>
      <c r="H15" s="369"/>
      <c r="I15" s="369"/>
      <c r="J15" s="370"/>
    </row>
    <row r="16" spans="1:13" ht="18" x14ac:dyDescent="0.3">
      <c r="A16" s="365">
        <v>3</v>
      </c>
      <c r="B16" s="366" t="s">
        <v>315</v>
      </c>
      <c r="C16" s="367">
        <v>4.8</v>
      </c>
      <c r="D16" s="368">
        <v>0.2</v>
      </c>
      <c r="E16" s="369">
        <v>0.4</v>
      </c>
      <c r="F16" s="366"/>
      <c r="G16" s="369"/>
      <c r="H16" s="369">
        <v>4</v>
      </c>
      <c r="I16" s="369">
        <f>C16*D16*E16*H16</f>
        <v>1.536</v>
      </c>
      <c r="J16" s="370" t="s">
        <v>281</v>
      </c>
    </row>
    <row r="17" spans="1:16" ht="16.5" x14ac:dyDescent="0.3">
      <c r="A17" s="371"/>
      <c r="B17" s="372"/>
      <c r="C17" s="373"/>
      <c r="D17" s="373"/>
      <c r="E17" s="369"/>
      <c r="F17" s="372"/>
      <c r="G17" s="374"/>
      <c r="H17" s="374"/>
      <c r="I17" s="369"/>
      <c r="J17" s="370"/>
    </row>
    <row r="18" spans="1:16" ht="18" x14ac:dyDescent="0.3">
      <c r="A18" s="365">
        <v>4</v>
      </c>
      <c r="B18" s="366" t="s">
        <v>316</v>
      </c>
      <c r="C18" s="367">
        <v>4.8</v>
      </c>
      <c r="D18" s="368">
        <v>0.2</v>
      </c>
      <c r="E18" s="369">
        <v>0.3</v>
      </c>
      <c r="F18" s="366"/>
      <c r="G18" s="369"/>
      <c r="H18" s="369">
        <v>1</v>
      </c>
      <c r="I18" s="369">
        <f>C18*D18*E18*H18</f>
        <v>0.28799999999999998</v>
      </c>
      <c r="J18" s="370" t="s">
        <v>281</v>
      </c>
    </row>
    <row r="19" spans="1:16" ht="18" x14ac:dyDescent="0.3">
      <c r="A19" s="371"/>
      <c r="B19" s="372"/>
      <c r="C19" s="367">
        <v>1.18</v>
      </c>
      <c r="D19" s="368">
        <v>0.2</v>
      </c>
      <c r="E19" s="369">
        <v>0.3</v>
      </c>
      <c r="F19" s="366"/>
      <c r="G19" s="369"/>
      <c r="H19" s="369">
        <v>1</v>
      </c>
      <c r="I19" s="369">
        <f>C19*D19*E19*H19</f>
        <v>7.0799999999999988E-2</v>
      </c>
      <c r="J19" s="370" t="s">
        <v>281</v>
      </c>
    </row>
    <row r="20" spans="1:16" ht="16.5" x14ac:dyDescent="0.3">
      <c r="A20" s="371"/>
      <c r="B20" s="372"/>
      <c r="C20" s="373"/>
      <c r="D20" s="373"/>
      <c r="E20" s="369"/>
      <c r="F20" s="372"/>
      <c r="G20" s="374"/>
      <c r="H20" s="374"/>
      <c r="I20" s="369"/>
      <c r="J20" s="370"/>
    </row>
    <row r="21" spans="1:16" ht="18" x14ac:dyDescent="0.3">
      <c r="A21" s="371"/>
      <c r="B21" s="372" t="s">
        <v>313</v>
      </c>
      <c r="C21" s="373">
        <v>2.1</v>
      </c>
      <c r="D21" s="373">
        <v>2.1</v>
      </c>
      <c r="E21" s="369">
        <v>0.12</v>
      </c>
      <c r="F21" s="372"/>
      <c r="G21" s="374"/>
      <c r="H21" s="374">
        <v>-1</v>
      </c>
      <c r="I21" s="369">
        <f>C21*D21*E21*H21</f>
        <v>-0.5292</v>
      </c>
      <c r="J21" s="370" t="s">
        <v>281</v>
      </c>
    </row>
    <row r="22" spans="1:16" ht="18.75" thickBot="1" x14ac:dyDescent="0.35">
      <c r="A22" s="371"/>
      <c r="B22" s="372"/>
      <c r="C22" s="373">
        <v>1.58</v>
      </c>
      <c r="D22" s="373">
        <v>4.5599999999999996</v>
      </c>
      <c r="E22" s="369">
        <v>0.12</v>
      </c>
      <c r="F22" s="372"/>
      <c r="G22" s="374"/>
      <c r="H22" s="374">
        <v>-1</v>
      </c>
      <c r="I22" s="369">
        <f>C22*D22*E22*H22</f>
        <v>-0.8645759999999999</v>
      </c>
      <c r="J22" s="370" t="s">
        <v>281</v>
      </c>
    </row>
    <row r="23" spans="1:16" ht="19.5" thickTop="1" thickBot="1" x14ac:dyDescent="0.35">
      <c r="A23" s="371"/>
      <c r="B23" s="372"/>
      <c r="C23" s="373"/>
      <c r="D23" s="373"/>
      <c r="E23" s="374"/>
      <c r="F23" s="372"/>
      <c r="G23" s="482" t="s">
        <v>314</v>
      </c>
      <c r="H23" s="483"/>
      <c r="I23" s="375">
        <f>SUM(I10:I22)</f>
        <v>13.0264896</v>
      </c>
      <c r="J23" s="376" t="s">
        <v>811</v>
      </c>
    </row>
    <row r="24" spans="1:16" ht="16.5" x14ac:dyDescent="0.3">
      <c r="A24" s="362" t="s">
        <v>328</v>
      </c>
      <c r="B24" s="377" t="s">
        <v>327</v>
      </c>
      <c r="C24" s="378"/>
      <c r="D24" s="378"/>
      <c r="E24" s="379"/>
      <c r="F24" s="379"/>
      <c r="G24" s="379"/>
      <c r="H24" s="379"/>
      <c r="I24" s="379"/>
      <c r="J24" s="380"/>
    </row>
    <row r="25" spans="1:16" ht="18" x14ac:dyDescent="0.3">
      <c r="A25" s="371">
        <v>1</v>
      </c>
      <c r="B25" s="366" t="s">
        <v>319</v>
      </c>
      <c r="C25" s="367">
        <f>2.32*1.195</f>
        <v>2.7723999999999998</v>
      </c>
      <c r="D25" s="368">
        <f>1.2+0.15+0.15</f>
        <v>1.4999999999999998</v>
      </c>
      <c r="E25" s="369"/>
      <c r="F25" s="366"/>
      <c r="G25" s="369"/>
      <c r="H25" s="369">
        <v>1</v>
      </c>
      <c r="I25" s="381">
        <f>C25*D25*H25</f>
        <v>4.158599999999999</v>
      </c>
      <c r="J25" s="382" t="s">
        <v>812</v>
      </c>
    </row>
    <row r="26" spans="1:16" ht="18" x14ac:dyDescent="0.3">
      <c r="A26" s="371"/>
      <c r="B26" s="366"/>
      <c r="C26" s="367">
        <v>3.52</v>
      </c>
      <c r="D26" s="368">
        <f t="shared" ref="D26:D27" si="0">1.2+0.15+0.15</f>
        <v>1.4999999999999998</v>
      </c>
      <c r="E26" s="369"/>
      <c r="F26" s="366"/>
      <c r="G26" s="369"/>
      <c r="H26" s="369">
        <v>1</v>
      </c>
      <c r="I26" s="381">
        <f t="shared" ref="I26:I27" si="1">C26*D26*H26</f>
        <v>5.2799999999999994</v>
      </c>
      <c r="J26" s="383" t="s">
        <v>812</v>
      </c>
    </row>
    <row r="27" spans="1:16" ht="18.75" thickBot="1" x14ac:dyDescent="0.35">
      <c r="A27" s="371"/>
      <c r="B27" s="366"/>
      <c r="C27" s="367">
        <v>1.2</v>
      </c>
      <c r="D27" s="368">
        <f t="shared" si="0"/>
        <v>1.4999999999999998</v>
      </c>
      <c r="E27" s="369"/>
      <c r="F27" s="366"/>
      <c r="G27" s="369"/>
      <c r="H27" s="369">
        <v>1</v>
      </c>
      <c r="I27" s="381">
        <f t="shared" si="1"/>
        <v>1.7999999999999996</v>
      </c>
      <c r="J27" s="383" t="s">
        <v>812</v>
      </c>
    </row>
    <row r="28" spans="1:16" ht="19.5" thickTop="1" thickBot="1" x14ac:dyDescent="0.35">
      <c r="A28" s="371"/>
      <c r="B28" s="372"/>
      <c r="C28" s="384"/>
      <c r="D28" s="373"/>
      <c r="E28" s="374"/>
      <c r="F28" s="372"/>
      <c r="G28" s="482" t="s">
        <v>314</v>
      </c>
      <c r="H28" s="483"/>
      <c r="I28" s="375">
        <f>SUM(I25:I27)</f>
        <v>11.238599999999996</v>
      </c>
      <c r="J28" s="376" t="s">
        <v>812</v>
      </c>
    </row>
    <row r="29" spans="1:16" ht="16.5" x14ac:dyDescent="0.3">
      <c r="A29" s="371"/>
      <c r="B29" s="379"/>
      <c r="C29" s="385"/>
      <c r="D29" s="378"/>
      <c r="E29" s="386"/>
      <c r="F29" s="379"/>
      <c r="G29" s="386"/>
      <c r="H29" s="386"/>
      <c r="I29" s="387"/>
      <c r="J29" s="388"/>
    </row>
    <row r="30" spans="1:16" ht="18" x14ac:dyDescent="0.3">
      <c r="A30" s="371">
        <v>2</v>
      </c>
      <c r="B30" s="366" t="s">
        <v>321</v>
      </c>
      <c r="C30" s="367">
        <v>3.1</v>
      </c>
      <c r="D30" s="368">
        <v>2.2250000000000001</v>
      </c>
      <c r="E30" s="369"/>
      <c r="F30" s="366"/>
      <c r="G30" s="369"/>
      <c r="H30" s="369">
        <v>9</v>
      </c>
      <c r="I30" s="369">
        <f t="shared" ref="I30:I33" si="2">C30*D30*H30</f>
        <v>62.077500000000008</v>
      </c>
      <c r="J30" s="389" t="s">
        <v>256</v>
      </c>
      <c r="P30" s="135">
        <f>(230+215)/2</f>
        <v>222.5</v>
      </c>
    </row>
    <row r="31" spans="1:16" ht="18" x14ac:dyDescent="0.3">
      <c r="A31" s="371"/>
      <c r="B31" s="372"/>
      <c r="C31" s="367">
        <v>0.6</v>
      </c>
      <c r="D31" s="368">
        <v>2.2999999999999998</v>
      </c>
      <c r="E31" s="369"/>
      <c r="F31" s="366"/>
      <c r="G31" s="369"/>
      <c r="H31" s="369">
        <v>1</v>
      </c>
      <c r="I31" s="369">
        <f t="shared" si="2"/>
        <v>1.38</v>
      </c>
      <c r="J31" s="389" t="s">
        <v>256</v>
      </c>
    </row>
    <row r="32" spans="1:16" ht="18" x14ac:dyDescent="0.3">
      <c r="A32" s="371"/>
      <c r="B32" s="372"/>
      <c r="C32" s="367">
        <v>1.8</v>
      </c>
      <c r="D32" s="368">
        <v>4.6500000000000004</v>
      </c>
      <c r="E32" s="369"/>
      <c r="F32" s="366"/>
      <c r="G32" s="369"/>
      <c r="H32" s="369">
        <v>1</v>
      </c>
      <c r="I32" s="369">
        <f t="shared" si="2"/>
        <v>8.370000000000001</v>
      </c>
      <c r="J32" s="389" t="s">
        <v>256</v>
      </c>
    </row>
    <row r="33" spans="1:12" ht="18.75" thickBot="1" x14ac:dyDescent="0.35">
      <c r="A33" s="371"/>
      <c r="B33" s="372"/>
      <c r="C33" s="367">
        <v>1.2</v>
      </c>
      <c r="D33" s="368">
        <v>0.53</v>
      </c>
      <c r="E33" s="369"/>
      <c r="F33" s="366"/>
      <c r="G33" s="369"/>
      <c r="H33" s="369">
        <v>1</v>
      </c>
      <c r="I33" s="369">
        <f t="shared" si="2"/>
        <v>0.63600000000000001</v>
      </c>
      <c r="J33" s="389" t="s">
        <v>256</v>
      </c>
    </row>
    <row r="34" spans="1:12" ht="19.5" thickTop="1" thickBot="1" x14ac:dyDescent="0.35">
      <c r="A34" s="371"/>
      <c r="B34" s="366"/>
      <c r="C34" s="367"/>
      <c r="D34" s="368"/>
      <c r="E34" s="369"/>
      <c r="F34" s="366"/>
      <c r="G34" s="482" t="s">
        <v>314</v>
      </c>
      <c r="H34" s="483"/>
      <c r="I34" s="375">
        <f>SUM(I30:I33)</f>
        <v>72.46350000000001</v>
      </c>
      <c r="J34" s="376" t="s">
        <v>812</v>
      </c>
      <c r="L34" s="135">
        <v>77.248500000000007</v>
      </c>
    </row>
    <row r="35" spans="1:12" ht="16.5" x14ac:dyDescent="0.3">
      <c r="A35" s="371"/>
      <c r="B35" s="379"/>
      <c r="C35" s="385"/>
      <c r="D35" s="378"/>
      <c r="E35" s="386"/>
      <c r="F35" s="379"/>
      <c r="G35" s="386"/>
      <c r="H35" s="386"/>
      <c r="I35" s="387"/>
      <c r="J35" s="388"/>
    </row>
    <row r="36" spans="1:12" ht="18" x14ac:dyDescent="0.3">
      <c r="A36" s="371">
        <v>3</v>
      </c>
      <c r="B36" s="366" t="s">
        <v>717</v>
      </c>
      <c r="C36" s="367">
        <v>4.5</v>
      </c>
      <c r="D36" s="368">
        <f>0.3+0.5+0.5</f>
        <v>1.3</v>
      </c>
      <c r="E36" s="369"/>
      <c r="F36" s="366"/>
      <c r="G36" s="369"/>
      <c r="H36" s="369">
        <v>4</v>
      </c>
      <c r="I36" s="369">
        <f>C36*D36*H36</f>
        <v>23.400000000000002</v>
      </c>
      <c r="J36" s="389" t="s">
        <v>256</v>
      </c>
    </row>
    <row r="37" spans="1:12" ht="18" x14ac:dyDescent="0.3">
      <c r="A37" s="371"/>
      <c r="B37" s="366" t="s">
        <v>417</v>
      </c>
      <c r="C37" s="367">
        <v>4.58</v>
      </c>
      <c r="D37" s="368">
        <f>0.2+0.4+0.4</f>
        <v>1</v>
      </c>
      <c r="E37" s="369"/>
      <c r="F37" s="366"/>
      <c r="G37" s="369"/>
      <c r="H37" s="369">
        <v>1</v>
      </c>
      <c r="I37" s="369">
        <f t="shared" ref="I37:I40" si="3">C37*D37*H37</f>
        <v>4.58</v>
      </c>
      <c r="J37" s="389" t="s">
        <v>256</v>
      </c>
    </row>
    <row r="38" spans="1:12" ht="18" x14ac:dyDescent="0.3">
      <c r="A38" s="371"/>
      <c r="B38" s="366"/>
      <c r="C38" s="367">
        <v>2.9</v>
      </c>
      <c r="D38" s="368">
        <f>0.2+0.4+0.4</f>
        <v>1</v>
      </c>
      <c r="E38" s="369"/>
      <c r="F38" s="366"/>
      <c r="G38" s="369"/>
      <c r="H38" s="369">
        <v>3</v>
      </c>
      <c r="I38" s="369">
        <f t="shared" ref="I38" si="4">C38*D38*H38</f>
        <v>8.6999999999999993</v>
      </c>
      <c r="J38" s="389" t="s">
        <v>256</v>
      </c>
    </row>
    <row r="39" spans="1:12" ht="18" x14ac:dyDescent="0.3">
      <c r="A39" s="371"/>
      <c r="B39" s="366" t="s">
        <v>418</v>
      </c>
      <c r="C39" s="367">
        <v>2.2999999999999998</v>
      </c>
      <c r="D39" s="368">
        <f>0.2+0.3+0.3</f>
        <v>0.8</v>
      </c>
      <c r="E39" s="369"/>
      <c r="F39" s="366"/>
      <c r="G39" s="369"/>
      <c r="H39" s="369">
        <v>1</v>
      </c>
      <c r="I39" s="369">
        <f t="shared" ref="I39" si="5">C39*D39*H39</f>
        <v>1.8399999999999999</v>
      </c>
      <c r="J39" s="389" t="s">
        <v>256</v>
      </c>
    </row>
    <row r="40" spans="1:12" ht="18" x14ac:dyDescent="0.3">
      <c r="A40" s="371"/>
      <c r="B40" s="366"/>
      <c r="C40" s="367">
        <v>3.1</v>
      </c>
      <c r="D40" s="368">
        <f>0.2+0.3+0.3</f>
        <v>0.8</v>
      </c>
      <c r="E40" s="369"/>
      <c r="F40" s="366"/>
      <c r="G40" s="369"/>
      <c r="H40" s="369">
        <v>5</v>
      </c>
      <c r="I40" s="369">
        <f t="shared" si="3"/>
        <v>12.400000000000002</v>
      </c>
      <c r="J40" s="389" t="s">
        <v>256</v>
      </c>
    </row>
    <row r="41" spans="1:12" ht="18" x14ac:dyDescent="0.3">
      <c r="A41" s="390"/>
      <c r="B41" s="372"/>
      <c r="C41" s="367">
        <v>1.2</v>
      </c>
      <c r="D41" s="368">
        <f t="shared" ref="D41" si="6">0.2+0.3+0.3</f>
        <v>0.8</v>
      </c>
      <c r="E41" s="369"/>
      <c r="F41" s="366"/>
      <c r="G41" s="369"/>
      <c r="H41" s="369">
        <v>1</v>
      </c>
      <c r="I41" s="369">
        <f t="shared" ref="I41" si="7">C41*D41*H41</f>
        <v>0.96</v>
      </c>
      <c r="J41" s="389" t="s">
        <v>256</v>
      </c>
    </row>
    <row r="42" spans="1:12" ht="18" x14ac:dyDescent="0.3">
      <c r="A42" s="390"/>
      <c r="B42" s="366" t="s">
        <v>718</v>
      </c>
      <c r="C42" s="367">
        <v>4.45</v>
      </c>
      <c r="D42" s="368">
        <f>0.15+0.5+0.5</f>
        <v>1.1499999999999999</v>
      </c>
      <c r="E42" s="369"/>
      <c r="F42" s="366"/>
      <c r="G42" s="369"/>
      <c r="H42" s="369">
        <v>4</v>
      </c>
      <c r="I42" s="369">
        <f>C42*D42*H42</f>
        <v>20.47</v>
      </c>
      <c r="J42" s="389" t="s">
        <v>256</v>
      </c>
    </row>
    <row r="43" spans="1:12" ht="18.75" thickBot="1" x14ac:dyDescent="0.35">
      <c r="A43" s="390"/>
      <c r="B43" s="366" t="s">
        <v>580</v>
      </c>
      <c r="C43" s="367">
        <v>3</v>
      </c>
      <c r="D43" s="368">
        <f>0.15+0.4+0.4</f>
        <v>0.95000000000000007</v>
      </c>
      <c r="E43" s="369"/>
      <c r="F43" s="366"/>
      <c r="G43" s="369"/>
      <c r="H43" s="369">
        <v>6</v>
      </c>
      <c r="I43" s="369">
        <f t="shared" ref="I43" si="8">C43*D43*H43</f>
        <v>17.100000000000001</v>
      </c>
      <c r="J43" s="389" t="s">
        <v>256</v>
      </c>
    </row>
    <row r="44" spans="1:12" ht="19.5" thickTop="1" thickBot="1" x14ac:dyDescent="0.35">
      <c r="A44" s="390"/>
      <c r="B44" s="372"/>
      <c r="C44" s="384"/>
      <c r="D44" s="373"/>
      <c r="E44" s="374"/>
      <c r="F44" s="372"/>
      <c r="G44" s="482" t="s">
        <v>314</v>
      </c>
      <c r="H44" s="483"/>
      <c r="I44" s="375">
        <f>SUM(I36:I43)</f>
        <v>89.450000000000017</v>
      </c>
      <c r="J44" s="376" t="s">
        <v>812</v>
      </c>
    </row>
    <row r="45" spans="1:12" ht="16.5" x14ac:dyDescent="0.3">
      <c r="A45" s="371"/>
      <c r="B45" s="379"/>
      <c r="C45" s="385"/>
      <c r="D45" s="378"/>
      <c r="E45" s="386"/>
      <c r="F45" s="379"/>
      <c r="G45" s="386"/>
      <c r="H45" s="386"/>
      <c r="I45" s="387"/>
      <c r="J45" s="388"/>
    </row>
    <row r="46" spans="1:12" ht="18" x14ac:dyDescent="0.3">
      <c r="A46" s="371">
        <v>4</v>
      </c>
      <c r="B46" s="366" t="s">
        <v>430</v>
      </c>
      <c r="C46" s="367" t="s">
        <v>588</v>
      </c>
      <c r="D46" s="368">
        <f>0.6+0.6+0.5+0.5</f>
        <v>2.2000000000000002</v>
      </c>
      <c r="E46" s="369">
        <f t="shared" ref="E46:E51" si="9">3.75</f>
        <v>3.75</v>
      </c>
      <c r="F46" s="366"/>
      <c r="G46" s="369"/>
      <c r="H46" s="369">
        <v>2</v>
      </c>
      <c r="I46" s="369">
        <f t="shared" ref="I46:I51" si="10">D46*E46*H46</f>
        <v>16.5</v>
      </c>
      <c r="J46" s="389" t="s">
        <v>256</v>
      </c>
    </row>
    <row r="47" spans="1:12" ht="18" x14ac:dyDescent="0.3">
      <c r="A47" s="390"/>
      <c r="B47" s="372"/>
      <c r="C47" s="367" t="s">
        <v>588</v>
      </c>
      <c r="D47" s="368">
        <f>0.6+0.6+0.5</f>
        <v>1.7</v>
      </c>
      <c r="E47" s="369">
        <f t="shared" si="9"/>
        <v>3.75</v>
      </c>
      <c r="F47" s="366"/>
      <c r="G47" s="369"/>
      <c r="H47" s="369">
        <v>1</v>
      </c>
      <c r="I47" s="369">
        <f t="shared" si="10"/>
        <v>6.375</v>
      </c>
      <c r="J47" s="389" t="s">
        <v>256</v>
      </c>
    </row>
    <row r="48" spans="1:12" ht="18" x14ac:dyDescent="0.3">
      <c r="A48" s="390"/>
      <c r="B48" s="372"/>
      <c r="C48" s="367" t="s">
        <v>589</v>
      </c>
      <c r="D48" s="368">
        <f>0.35+0.2+0.2</f>
        <v>0.75</v>
      </c>
      <c r="E48" s="369">
        <f t="shared" si="9"/>
        <v>3.75</v>
      </c>
      <c r="F48" s="366"/>
      <c r="G48" s="369"/>
      <c r="H48" s="369">
        <v>1</v>
      </c>
      <c r="I48" s="369">
        <f t="shared" si="10"/>
        <v>2.8125</v>
      </c>
      <c r="J48" s="389" t="s">
        <v>256</v>
      </c>
    </row>
    <row r="49" spans="1:10" ht="18" x14ac:dyDescent="0.3">
      <c r="A49" s="390"/>
      <c r="B49" s="372"/>
      <c r="C49" s="367" t="s">
        <v>590</v>
      </c>
      <c r="D49" s="368">
        <f>0.475+0.2+0.2</f>
        <v>0.875</v>
      </c>
      <c r="E49" s="369">
        <f t="shared" si="9"/>
        <v>3.75</v>
      </c>
      <c r="F49" s="366"/>
      <c r="G49" s="369"/>
      <c r="H49" s="369">
        <v>4</v>
      </c>
      <c r="I49" s="369">
        <f t="shared" si="10"/>
        <v>13.125</v>
      </c>
      <c r="J49" s="389" t="s">
        <v>256</v>
      </c>
    </row>
    <row r="50" spans="1:10" ht="18" x14ac:dyDescent="0.3">
      <c r="A50" s="390"/>
      <c r="B50" s="372"/>
      <c r="C50" s="367" t="s">
        <v>590</v>
      </c>
      <c r="D50" s="368">
        <f>0.475+0.2</f>
        <v>0.67500000000000004</v>
      </c>
      <c r="E50" s="369">
        <f t="shared" si="9"/>
        <v>3.75</v>
      </c>
      <c r="F50" s="366"/>
      <c r="G50" s="369"/>
      <c r="H50" s="369">
        <v>2</v>
      </c>
      <c r="I50" s="369">
        <f t="shared" si="10"/>
        <v>5.0625</v>
      </c>
      <c r="J50" s="389" t="s">
        <v>256</v>
      </c>
    </row>
    <row r="51" spans="1:10" ht="18.75" thickBot="1" x14ac:dyDescent="0.35">
      <c r="A51" s="390"/>
      <c r="B51" s="372"/>
      <c r="C51" s="367" t="s">
        <v>591</v>
      </c>
      <c r="D51" s="368">
        <f>0.23+0.2</f>
        <v>0.43000000000000005</v>
      </c>
      <c r="E51" s="369">
        <f t="shared" si="9"/>
        <v>3.75</v>
      </c>
      <c r="F51" s="366"/>
      <c r="G51" s="369"/>
      <c r="H51" s="369">
        <v>2</v>
      </c>
      <c r="I51" s="369">
        <f t="shared" si="10"/>
        <v>3.2250000000000005</v>
      </c>
      <c r="J51" s="389" t="s">
        <v>256</v>
      </c>
    </row>
    <row r="52" spans="1:10" ht="19.5" thickTop="1" thickBot="1" x14ac:dyDescent="0.35">
      <c r="A52" s="390"/>
      <c r="B52" s="372"/>
      <c r="C52" s="384"/>
      <c r="D52" s="373"/>
      <c r="E52" s="374"/>
      <c r="F52" s="372"/>
      <c r="G52" s="482" t="s">
        <v>314</v>
      </c>
      <c r="H52" s="483"/>
      <c r="I52" s="375">
        <f>SUM(I46:I51)</f>
        <v>47.1</v>
      </c>
      <c r="J52" s="376" t="s">
        <v>812</v>
      </c>
    </row>
    <row r="53" spans="1:10" ht="16.5" x14ac:dyDescent="0.3">
      <c r="A53" s="391"/>
      <c r="B53" s="392"/>
      <c r="C53" s="378"/>
      <c r="D53" s="378"/>
      <c r="E53" s="379"/>
      <c r="F53" s="379"/>
      <c r="G53" s="379"/>
      <c r="H53" s="379"/>
      <c r="I53" s="379"/>
      <c r="J53" s="380"/>
    </row>
    <row r="54" spans="1:10" ht="16.5" x14ac:dyDescent="0.3">
      <c r="A54" s="362" t="s">
        <v>341</v>
      </c>
      <c r="B54" s="363" t="s">
        <v>342</v>
      </c>
      <c r="C54" s="364"/>
      <c r="D54" s="359"/>
      <c r="E54" s="360"/>
      <c r="F54" s="360"/>
      <c r="G54" s="360"/>
      <c r="H54" s="360"/>
      <c r="I54" s="360"/>
      <c r="J54" s="361"/>
    </row>
    <row r="55" spans="1:10" ht="18" x14ac:dyDescent="0.3">
      <c r="A55" s="365">
        <v>1</v>
      </c>
      <c r="B55" s="366" t="s">
        <v>344</v>
      </c>
      <c r="C55" s="367">
        <v>2.77</v>
      </c>
      <c r="D55" s="368">
        <v>1.2</v>
      </c>
      <c r="E55" s="369">
        <v>0.15</v>
      </c>
      <c r="F55" s="366"/>
      <c r="G55" s="369"/>
      <c r="H55" s="369">
        <v>1</v>
      </c>
      <c r="I55" s="369">
        <f>C55*D55*E55*H55</f>
        <v>0.49859999999999993</v>
      </c>
      <c r="J55" s="370" t="s">
        <v>281</v>
      </c>
    </row>
    <row r="56" spans="1:10" ht="18" x14ac:dyDescent="0.3">
      <c r="A56" s="371"/>
      <c r="B56" s="372"/>
      <c r="C56" s="367">
        <v>3.52</v>
      </c>
      <c r="D56" s="368">
        <v>1.2</v>
      </c>
      <c r="E56" s="369">
        <v>0.15</v>
      </c>
      <c r="F56" s="366"/>
      <c r="G56" s="369"/>
      <c r="H56" s="369">
        <v>1</v>
      </c>
      <c r="I56" s="369">
        <f>C56*D56*E56*H56</f>
        <v>0.63360000000000005</v>
      </c>
      <c r="J56" s="370" t="s">
        <v>281</v>
      </c>
    </row>
    <row r="57" spans="1:10" ht="18" x14ac:dyDescent="0.3">
      <c r="A57" s="371"/>
      <c r="B57" s="372"/>
      <c r="C57" s="367">
        <v>1.2</v>
      </c>
      <c r="D57" s="368">
        <v>1.2</v>
      </c>
      <c r="E57" s="369">
        <v>0.15</v>
      </c>
      <c r="F57" s="366"/>
      <c r="G57" s="369"/>
      <c r="H57" s="369">
        <v>1</v>
      </c>
      <c r="I57" s="369">
        <f>C57*D57*E57*H57</f>
        <v>0.216</v>
      </c>
      <c r="J57" s="370" t="s">
        <v>281</v>
      </c>
    </row>
    <row r="58" spans="1:10" ht="18" x14ac:dyDescent="0.3">
      <c r="A58" s="371"/>
      <c r="B58" s="372"/>
      <c r="C58" s="367">
        <v>0.3</v>
      </c>
      <c r="D58" s="368">
        <v>1.2</v>
      </c>
      <c r="E58" s="369">
        <v>1.3</v>
      </c>
      <c r="F58" s="366"/>
      <c r="G58" s="369"/>
      <c r="H58" s="369">
        <v>1</v>
      </c>
      <c r="I58" s="369">
        <f>C58*D58*E58*H58</f>
        <v>0.46799999999999997</v>
      </c>
      <c r="J58" s="370" t="s">
        <v>281</v>
      </c>
    </row>
    <row r="59" spans="1:10" ht="18.75" thickBot="1" x14ac:dyDescent="0.35">
      <c r="A59" s="371"/>
      <c r="B59" s="372"/>
      <c r="C59" s="367">
        <v>1.1000000000000001</v>
      </c>
      <c r="D59" s="368">
        <v>1.2</v>
      </c>
      <c r="E59" s="369">
        <v>0.3</v>
      </c>
      <c r="F59" s="366"/>
      <c r="G59" s="369"/>
      <c r="H59" s="369">
        <v>1</v>
      </c>
      <c r="I59" s="369">
        <f>C59*D59*E59*H59</f>
        <v>0.39600000000000002</v>
      </c>
      <c r="J59" s="370" t="s">
        <v>281</v>
      </c>
    </row>
    <row r="60" spans="1:10" ht="19.5" thickTop="1" thickBot="1" x14ac:dyDescent="0.35">
      <c r="A60" s="371"/>
      <c r="B60" s="372"/>
      <c r="C60" s="373"/>
      <c r="D60" s="373"/>
      <c r="E60" s="374"/>
      <c r="F60" s="372"/>
      <c r="G60" s="482" t="s">
        <v>314</v>
      </c>
      <c r="H60" s="483"/>
      <c r="I60" s="375">
        <f>SUM(I55:I59)</f>
        <v>2.2122000000000002</v>
      </c>
      <c r="J60" s="376" t="s">
        <v>811</v>
      </c>
    </row>
    <row r="61" spans="1:10" ht="17.25" thickBot="1" x14ac:dyDescent="0.35">
      <c r="A61" s="371"/>
      <c r="B61" s="379"/>
      <c r="C61" s="385"/>
      <c r="D61" s="378"/>
      <c r="E61" s="386"/>
      <c r="F61" s="379"/>
      <c r="G61" s="393"/>
      <c r="H61" s="394"/>
      <c r="I61" s="387"/>
      <c r="J61" s="395"/>
    </row>
    <row r="62" spans="1:10" ht="19.5" thickTop="1" thickBot="1" x14ac:dyDescent="0.35">
      <c r="A62" s="365">
        <v>2</v>
      </c>
      <c r="B62" s="366" t="s">
        <v>343</v>
      </c>
      <c r="C62" s="373"/>
      <c r="D62" s="373"/>
      <c r="E62" s="374"/>
      <c r="F62" s="372"/>
      <c r="G62" s="482" t="s">
        <v>314</v>
      </c>
      <c r="H62" s="483"/>
      <c r="I62" s="375">
        <f>I34*0.15</f>
        <v>10.869525000000001</v>
      </c>
      <c r="J62" s="376" t="s">
        <v>811</v>
      </c>
    </row>
    <row r="63" spans="1:10" ht="16.5" x14ac:dyDescent="0.3">
      <c r="A63" s="371"/>
      <c r="B63" s="379"/>
      <c r="C63" s="385"/>
      <c r="D63" s="378"/>
      <c r="E63" s="386"/>
      <c r="F63" s="379"/>
      <c r="G63" s="386"/>
      <c r="H63" s="386"/>
      <c r="I63" s="387"/>
      <c r="J63" s="388"/>
    </row>
    <row r="64" spans="1:10" ht="18" x14ac:dyDescent="0.3">
      <c r="A64" s="365">
        <v>3</v>
      </c>
      <c r="B64" s="366" t="s">
        <v>721</v>
      </c>
      <c r="C64" s="367">
        <v>4.58</v>
      </c>
      <c r="D64" s="368">
        <v>0.3</v>
      </c>
      <c r="E64" s="369">
        <v>0.5</v>
      </c>
      <c r="F64" s="366"/>
      <c r="G64" s="369"/>
      <c r="H64" s="369">
        <v>4</v>
      </c>
      <c r="I64" s="369">
        <f t="shared" ref="I64:I69" si="11">C64*D64*E64*H64</f>
        <v>2.7479999999999998</v>
      </c>
      <c r="J64" s="370" t="s">
        <v>281</v>
      </c>
    </row>
    <row r="65" spans="1:10" ht="18" x14ac:dyDescent="0.3">
      <c r="A65" s="365">
        <v>4</v>
      </c>
      <c r="B65" s="366" t="s">
        <v>412</v>
      </c>
      <c r="C65" s="367">
        <v>4.6500000000000004</v>
      </c>
      <c r="D65" s="368">
        <v>0.2</v>
      </c>
      <c r="E65" s="369">
        <v>0.4</v>
      </c>
      <c r="F65" s="366"/>
      <c r="G65" s="369"/>
      <c r="H65" s="369">
        <v>1</v>
      </c>
      <c r="I65" s="369">
        <f t="shared" si="11"/>
        <v>0.37200000000000011</v>
      </c>
      <c r="J65" s="370" t="s">
        <v>281</v>
      </c>
    </row>
    <row r="66" spans="1:10" ht="18" x14ac:dyDescent="0.3">
      <c r="A66" s="365"/>
      <c r="B66" s="366"/>
      <c r="C66" s="367">
        <v>3.02</v>
      </c>
      <c r="D66" s="368">
        <v>0.2</v>
      </c>
      <c r="E66" s="369">
        <v>0.4</v>
      </c>
      <c r="F66" s="366"/>
      <c r="G66" s="369"/>
      <c r="H66" s="369">
        <v>3</v>
      </c>
      <c r="I66" s="369">
        <f t="shared" si="11"/>
        <v>0.72480000000000011</v>
      </c>
      <c r="J66" s="370" t="s">
        <v>281</v>
      </c>
    </row>
    <row r="67" spans="1:10" ht="18" x14ac:dyDescent="0.3">
      <c r="A67" s="371">
        <v>5</v>
      </c>
      <c r="B67" s="366" t="s">
        <v>416</v>
      </c>
      <c r="C67" s="367">
        <v>2.2999999999999998</v>
      </c>
      <c r="D67" s="368">
        <v>0.2</v>
      </c>
      <c r="E67" s="369">
        <v>0.3</v>
      </c>
      <c r="F67" s="366"/>
      <c r="G67" s="369"/>
      <c r="H67" s="369">
        <v>1</v>
      </c>
      <c r="I67" s="369">
        <f t="shared" si="11"/>
        <v>0.13799999999999998</v>
      </c>
      <c r="J67" s="370" t="s">
        <v>281</v>
      </c>
    </row>
    <row r="68" spans="1:10" ht="18" x14ac:dyDescent="0.3">
      <c r="A68" s="371"/>
      <c r="B68" s="372"/>
      <c r="C68" s="367">
        <v>3.1</v>
      </c>
      <c r="D68" s="368">
        <v>0.2</v>
      </c>
      <c r="E68" s="369">
        <v>0.3</v>
      </c>
      <c r="F68" s="366"/>
      <c r="G68" s="369"/>
      <c r="H68" s="369">
        <v>5</v>
      </c>
      <c r="I68" s="369">
        <f t="shared" si="11"/>
        <v>0.93000000000000016</v>
      </c>
      <c r="J68" s="370" t="s">
        <v>281</v>
      </c>
    </row>
    <row r="69" spans="1:10" ht="18" x14ac:dyDescent="0.3">
      <c r="A69" s="371"/>
      <c r="B69" s="372"/>
      <c r="C69" s="367">
        <v>1.2</v>
      </c>
      <c r="D69" s="368">
        <v>0.2</v>
      </c>
      <c r="E69" s="369">
        <v>0.3</v>
      </c>
      <c r="F69" s="366"/>
      <c r="G69" s="369"/>
      <c r="H69" s="369">
        <v>1</v>
      </c>
      <c r="I69" s="369">
        <f t="shared" si="11"/>
        <v>7.1999999999999995E-2</v>
      </c>
      <c r="J69" s="370" t="s">
        <v>281</v>
      </c>
    </row>
    <row r="70" spans="1:10" ht="18" x14ac:dyDescent="0.3">
      <c r="A70" s="365">
        <v>6</v>
      </c>
      <c r="B70" s="366" t="s">
        <v>722</v>
      </c>
      <c r="C70" s="367">
        <v>4.58</v>
      </c>
      <c r="D70" s="368">
        <v>0.15</v>
      </c>
      <c r="E70" s="369">
        <v>0.5</v>
      </c>
      <c r="F70" s="366"/>
      <c r="G70" s="369"/>
      <c r="H70" s="369">
        <v>4</v>
      </c>
      <c r="I70" s="369">
        <f t="shared" ref="I70" si="12">C70*D70*E70*H70</f>
        <v>1.3739999999999999</v>
      </c>
      <c r="J70" s="370" t="s">
        <v>281</v>
      </c>
    </row>
    <row r="71" spans="1:10" ht="18.75" thickBot="1" x14ac:dyDescent="0.35">
      <c r="A71" s="365">
        <v>7</v>
      </c>
      <c r="B71" s="366" t="s">
        <v>587</v>
      </c>
      <c r="C71" s="367">
        <v>3.02</v>
      </c>
      <c r="D71" s="368">
        <v>0.15</v>
      </c>
      <c r="E71" s="369">
        <v>0.4</v>
      </c>
      <c r="F71" s="366"/>
      <c r="G71" s="369"/>
      <c r="H71" s="369">
        <v>6</v>
      </c>
      <c r="I71" s="369">
        <f t="shared" ref="I71" si="13">C71*D71*E71*H71</f>
        <v>1.0871999999999999</v>
      </c>
      <c r="J71" s="370" t="s">
        <v>281</v>
      </c>
    </row>
    <row r="72" spans="1:10" ht="19.5" thickTop="1" thickBot="1" x14ac:dyDescent="0.35">
      <c r="A72" s="371"/>
      <c r="B72" s="372"/>
      <c r="C72" s="373"/>
      <c r="D72" s="373"/>
      <c r="E72" s="374"/>
      <c r="F72" s="372"/>
      <c r="G72" s="482" t="s">
        <v>314</v>
      </c>
      <c r="H72" s="483"/>
      <c r="I72" s="375">
        <f>SUM(I64:I71)</f>
        <v>7.4460000000000006</v>
      </c>
      <c r="J72" s="376" t="s">
        <v>811</v>
      </c>
    </row>
    <row r="73" spans="1:10" ht="16.5" x14ac:dyDescent="0.3">
      <c r="A73" s="365">
        <v>8</v>
      </c>
      <c r="B73" s="366" t="s">
        <v>599</v>
      </c>
      <c r="C73" s="385"/>
      <c r="D73" s="378"/>
      <c r="E73" s="386"/>
      <c r="F73" s="379"/>
      <c r="G73" s="386"/>
      <c r="H73" s="386"/>
      <c r="I73" s="387"/>
      <c r="J73" s="388"/>
    </row>
    <row r="74" spans="1:10" ht="18" x14ac:dyDescent="0.3">
      <c r="A74" s="365"/>
      <c r="B74" s="396" t="s">
        <v>600</v>
      </c>
      <c r="C74" s="367">
        <v>0.45</v>
      </c>
      <c r="D74" s="397">
        <v>7.4999999999999997E-2</v>
      </c>
      <c r="E74" s="369">
        <f>E46</f>
        <v>3.75</v>
      </c>
      <c r="F74" s="366"/>
      <c r="G74" s="369"/>
      <c r="H74" s="369">
        <v>3</v>
      </c>
      <c r="I74" s="369">
        <f t="shared" ref="I74:I79" si="14">C74*D74*E74*H74</f>
        <v>0.37968750000000007</v>
      </c>
      <c r="J74" s="370" t="s">
        <v>281</v>
      </c>
    </row>
    <row r="75" spans="1:10" ht="18" x14ac:dyDescent="0.3">
      <c r="A75" s="371"/>
      <c r="B75" s="372"/>
      <c r="C75" s="367">
        <v>0.2</v>
      </c>
      <c r="D75" s="397">
        <v>7.4999999999999997E-2</v>
      </c>
      <c r="E75" s="369">
        <f>E46</f>
        <v>3.75</v>
      </c>
      <c r="F75" s="366"/>
      <c r="G75" s="369"/>
      <c r="H75" s="369">
        <v>3</v>
      </c>
      <c r="I75" s="369">
        <f t="shared" si="14"/>
        <v>0.16874999999999998</v>
      </c>
      <c r="J75" s="370" t="s">
        <v>281</v>
      </c>
    </row>
    <row r="76" spans="1:10" ht="18" x14ac:dyDescent="0.3">
      <c r="A76" s="371"/>
      <c r="B76" s="396" t="s">
        <v>601</v>
      </c>
      <c r="C76" s="367">
        <v>0.35</v>
      </c>
      <c r="D76" s="397">
        <v>0.1</v>
      </c>
      <c r="E76" s="369">
        <f>E46</f>
        <v>3.75</v>
      </c>
      <c r="F76" s="366"/>
      <c r="G76" s="369"/>
      <c r="H76" s="369">
        <v>1</v>
      </c>
      <c r="I76" s="369">
        <f t="shared" si="14"/>
        <v>0.13124999999999998</v>
      </c>
      <c r="J76" s="370" t="s">
        <v>281</v>
      </c>
    </row>
    <row r="77" spans="1:10" ht="18" x14ac:dyDescent="0.3">
      <c r="A77" s="371"/>
      <c r="B77" s="372"/>
      <c r="C77" s="397">
        <v>7.4999999999999997E-2</v>
      </c>
      <c r="D77" s="397">
        <v>7.4999999999999997E-2</v>
      </c>
      <c r="E77" s="369">
        <f>E46</f>
        <v>3.75</v>
      </c>
      <c r="F77" s="366"/>
      <c r="G77" s="369"/>
      <c r="H77" s="369">
        <v>2</v>
      </c>
      <c r="I77" s="369">
        <f t="shared" si="14"/>
        <v>4.2187499999999996E-2</v>
      </c>
      <c r="J77" s="370" t="s">
        <v>281</v>
      </c>
    </row>
    <row r="78" spans="1:10" ht="18" x14ac:dyDescent="0.3">
      <c r="A78" s="371"/>
      <c r="B78" s="396" t="s">
        <v>602</v>
      </c>
      <c r="C78" s="367">
        <v>0.45</v>
      </c>
      <c r="D78" s="397">
        <v>0.15</v>
      </c>
      <c r="E78" s="369">
        <f>E46</f>
        <v>3.75</v>
      </c>
      <c r="F78" s="366"/>
      <c r="G78" s="369"/>
      <c r="H78" s="369">
        <v>6</v>
      </c>
      <c r="I78" s="369">
        <f t="shared" si="14"/>
        <v>1.5187500000000003</v>
      </c>
      <c r="J78" s="370" t="s">
        <v>281</v>
      </c>
    </row>
    <row r="79" spans="1:10" ht="18.75" thickBot="1" x14ac:dyDescent="0.35">
      <c r="A79" s="371"/>
      <c r="B79" s="396" t="s">
        <v>603</v>
      </c>
      <c r="C79" s="367">
        <v>0.23</v>
      </c>
      <c r="D79" s="397">
        <v>0.15</v>
      </c>
      <c r="E79" s="369">
        <f>E47</f>
        <v>3.75</v>
      </c>
      <c r="F79" s="366"/>
      <c r="G79" s="369"/>
      <c r="H79" s="369">
        <v>2</v>
      </c>
      <c r="I79" s="369">
        <f t="shared" si="14"/>
        <v>0.25875000000000004</v>
      </c>
      <c r="J79" s="370" t="s">
        <v>281</v>
      </c>
    </row>
    <row r="80" spans="1:10" ht="19.5" thickTop="1" thickBot="1" x14ac:dyDescent="0.35">
      <c r="A80" s="371"/>
      <c r="B80" s="372"/>
      <c r="C80" s="373"/>
      <c r="D80" s="373"/>
      <c r="E80" s="374"/>
      <c r="F80" s="372"/>
      <c r="G80" s="482" t="s">
        <v>314</v>
      </c>
      <c r="H80" s="483"/>
      <c r="I80" s="375">
        <f>SUM(I74:I79)</f>
        <v>2.4993750000000006</v>
      </c>
      <c r="J80" s="376" t="s">
        <v>811</v>
      </c>
    </row>
    <row r="81" spans="1:10" ht="16.5" x14ac:dyDescent="0.3">
      <c r="A81" s="352" t="s">
        <v>360</v>
      </c>
      <c r="B81" s="353" t="s">
        <v>725</v>
      </c>
      <c r="C81" s="354"/>
      <c r="D81" s="354"/>
      <c r="E81" s="355"/>
      <c r="F81" s="355"/>
      <c r="G81" s="355"/>
      <c r="H81" s="355"/>
      <c r="I81" s="355"/>
      <c r="J81" s="356"/>
    </row>
    <row r="82" spans="1:10" ht="16.5" x14ac:dyDescent="0.3">
      <c r="A82" s="362" t="s">
        <v>325</v>
      </c>
      <c r="B82" s="363" t="s">
        <v>726</v>
      </c>
      <c r="C82" s="364"/>
      <c r="D82" s="359"/>
      <c r="E82" s="360"/>
      <c r="F82" s="360"/>
      <c r="G82" s="360"/>
      <c r="H82" s="360"/>
      <c r="I82" s="360"/>
      <c r="J82" s="370"/>
    </row>
    <row r="83" spans="1:10" ht="18.75" thickBot="1" x14ac:dyDescent="0.35">
      <c r="A83" s="371">
        <v>1</v>
      </c>
      <c r="B83" s="366" t="s">
        <v>724</v>
      </c>
      <c r="C83" s="364">
        <v>2.8</v>
      </c>
      <c r="D83" s="359">
        <v>2.7</v>
      </c>
      <c r="E83" s="360">
        <v>1.1499999999999999</v>
      </c>
      <c r="F83" s="360"/>
      <c r="G83" s="360"/>
      <c r="H83" s="369">
        <v>1</v>
      </c>
      <c r="I83" s="398">
        <f>C83*D83*E83*H83</f>
        <v>8.6939999999999991</v>
      </c>
      <c r="J83" s="370" t="s">
        <v>281</v>
      </c>
    </row>
    <row r="84" spans="1:10" ht="19.5" thickTop="1" thickBot="1" x14ac:dyDescent="0.35">
      <c r="A84" s="371"/>
      <c r="B84" s="372"/>
      <c r="C84" s="384"/>
      <c r="D84" s="373"/>
      <c r="E84" s="374"/>
      <c r="F84" s="372"/>
      <c r="G84" s="482" t="s">
        <v>314</v>
      </c>
      <c r="H84" s="483"/>
      <c r="I84" s="375">
        <f>SUM(I83:I83)</f>
        <v>8.6939999999999991</v>
      </c>
      <c r="J84" s="376" t="s">
        <v>811</v>
      </c>
    </row>
    <row r="85" spans="1:10" ht="18.75" thickBot="1" x14ac:dyDescent="0.35">
      <c r="A85" s="371">
        <f>A83+1</f>
        <v>2</v>
      </c>
      <c r="B85" s="399" t="s">
        <v>729</v>
      </c>
      <c r="C85" s="400">
        <v>2.8</v>
      </c>
      <c r="D85" s="401">
        <v>2.7</v>
      </c>
      <c r="E85" s="399">
        <v>0.1</v>
      </c>
      <c r="F85" s="399"/>
      <c r="G85" s="399"/>
      <c r="H85" s="402">
        <v>1</v>
      </c>
      <c r="I85" s="402">
        <f>C85*D85*E85*H85</f>
        <v>0.75600000000000001</v>
      </c>
      <c r="J85" s="403" t="s">
        <v>281</v>
      </c>
    </row>
    <row r="86" spans="1:10" ht="19.5" thickTop="1" thickBot="1" x14ac:dyDescent="0.35">
      <c r="A86" s="371"/>
      <c r="B86" s="404"/>
      <c r="C86" s="405"/>
      <c r="D86" s="406"/>
      <c r="E86" s="407"/>
      <c r="F86" s="404"/>
      <c r="G86" s="476" t="s">
        <v>314</v>
      </c>
      <c r="H86" s="477"/>
      <c r="I86" s="408">
        <f>SUM(I85:I85)</f>
        <v>0.75600000000000001</v>
      </c>
      <c r="J86" s="409" t="s">
        <v>811</v>
      </c>
    </row>
    <row r="87" spans="1:10" ht="18.75" thickBot="1" x14ac:dyDescent="0.35">
      <c r="A87" s="371">
        <f>A85+1</f>
        <v>3</v>
      </c>
      <c r="B87" s="360" t="s">
        <v>732</v>
      </c>
      <c r="C87" s="364">
        <v>2.2999999999999998</v>
      </c>
      <c r="D87" s="359">
        <v>2.2999999999999998</v>
      </c>
      <c r="E87" s="360">
        <v>0.55000000000000004</v>
      </c>
      <c r="F87" s="360"/>
      <c r="G87" s="360"/>
      <c r="H87" s="398">
        <v>1</v>
      </c>
      <c r="I87" s="398">
        <f>C87*D87*E87*H87</f>
        <v>2.9095</v>
      </c>
      <c r="J87" s="361" t="s">
        <v>281</v>
      </c>
    </row>
    <row r="88" spans="1:10" ht="19.5" thickTop="1" thickBot="1" x14ac:dyDescent="0.35">
      <c r="A88" s="371"/>
      <c r="B88" s="404"/>
      <c r="C88" s="405"/>
      <c r="D88" s="406"/>
      <c r="E88" s="407"/>
      <c r="F88" s="404"/>
      <c r="G88" s="476" t="s">
        <v>314</v>
      </c>
      <c r="H88" s="477"/>
      <c r="I88" s="408">
        <f>SUM(I87:I87)</f>
        <v>2.9095</v>
      </c>
      <c r="J88" s="409" t="s">
        <v>811</v>
      </c>
    </row>
    <row r="89" spans="1:10" ht="18.75" thickBot="1" x14ac:dyDescent="0.35">
      <c r="A89" s="371">
        <f>A87+1</f>
        <v>4</v>
      </c>
      <c r="B89" s="399" t="s">
        <v>734</v>
      </c>
      <c r="C89" s="364">
        <v>2.2999999999999998</v>
      </c>
      <c r="D89" s="359">
        <v>2.2999999999999998</v>
      </c>
      <c r="E89" s="360">
        <v>0.1</v>
      </c>
      <c r="F89" s="360"/>
      <c r="G89" s="360"/>
      <c r="H89" s="398">
        <v>0.9</v>
      </c>
      <c r="I89" s="398">
        <f>C89*D89*E89*H89</f>
        <v>0.47609999999999991</v>
      </c>
      <c r="J89" s="361" t="s">
        <v>281</v>
      </c>
    </row>
    <row r="90" spans="1:10" ht="19.5" thickTop="1" thickBot="1" x14ac:dyDescent="0.35">
      <c r="A90" s="371"/>
      <c r="B90" s="404"/>
      <c r="C90" s="405"/>
      <c r="D90" s="406"/>
      <c r="E90" s="407"/>
      <c r="F90" s="404"/>
      <c r="G90" s="476" t="s">
        <v>314</v>
      </c>
      <c r="H90" s="477"/>
      <c r="I90" s="408">
        <f>SUM(I89:I89)</f>
        <v>0.47609999999999991</v>
      </c>
      <c r="J90" s="409" t="s">
        <v>811</v>
      </c>
    </row>
    <row r="91" spans="1:10" ht="18.75" thickBot="1" x14ac:dyDescent="0.35">
      <c r="A91" s="371">
        <f>A89+1</f>
        <v>5</v>
      </c>
      <c r="B91" s="399" t="s">
        <v>736</v>
      </c>
      <c r="C91" s="364">
        <v>2.2999999999999998</v>
      </c>
      <c r="D91" s="359">
        <v>2.2999999999999998</v>
      </c>
      <c r="E91" s="360">
        <v>0.15</v>
      </c>
      <c r="F91" s="360"/>
      <c r="G91" s="360"/>
      <c r="H91" s="398">
        <v>1</v>
      </c>
      <c r="I91" s="398">
        <f>C91*D91*E91*H91</f>
        <v>0.79349999999999987</v>
      </c>
      <c r="J91" s="361" t="s">
        <v>281</v>
      </c>
    </row>
    <row r="92" spans="1:10" ht="19.5" thickTop="1" thickBot="1" x14ac:dyDescent="0.35">
      <c r="A92" s="371"/>
      <c r="B92" s="404"/>
      <c r="C92" s="405"/>
      <c r="D92" s="406"/>
      <c r="E92" s="407"/>
      <c r="F92" s="404"/>
      <c r="G92" s="476" t="s">
        <v>314</v>
      </c>
      <c r="H92" s="477"/>
      <c r="I92" s="408">
        <f>SUM(I91:I91)</f>
        <v>0.79349999999999987</v>
      </c>
      <c r="J92" s="409" t="s">
        <v>811</v>
      </c>
    </row>
    <row r="93" spans="1:10" ht="18.75" thickBot="1" x14ac:dyDescent="0.35">
      <c r="A93" s="371">
        <f>A91+1</f>
        <v>6</v>
      </c>
      <c r="B93" s="399" t="s">
        <v>738</v>
      </c>
      <c r="C93" s="364">
        <v>2.6</v>
      </c>
      <c r="D93" s="359">
        <v>2.6</v>
      </c>
      <c r="E93" s="398">
        <v>0.3</v>
      </c>
      <c r="F93" s="360"/>
      <c r="G93" s="360"/>
      <c r="H93" s="398">
        <v>1</v>
      </c>
      <c r="I93" s="398">
        <f>C93*D93*E93*H93</f>
        <v>2.028</v>
      </c>
      <c r="J93" s="361" t="s">
        <v>281</v>
      </c>
    </row>
    <row r="94" spans="1:10" ht="19.5" thickTop="1" thickBot="1" x14ac:dyDescent="0.35">
      <c r="A94" s="371"/>
      <c r="B94" s="404"/>
      <c r="C94" s="405"/>
      <c r="D94" s="406"/>
      <c r="E94" s="407"/>
      <c r="F94" s="404"/>
      <c r="G94" s="476" t="s">
        <v>314</v>
      </c>
      <c r="H94" s="477"/>
      <c r="I94" s="408">
        <f>SUM(I93:I93)</f>
        <v>2.028</v>
      </c>
      <c r="J94" s="409" t="s">
        <v>811</v>
      </c>
    </row>
    <row r="95" spans="1:10" ht="18.75" thickBot="1" x14ac:dyDescent="0.35">
      <c r="A95" s="371">
        <f>A93+1</f>
        <v>7</v>
      </c>
      <c r="B95" s="399" t="s">
        <v>743</v>
      </c>
      <c r="C95" s="364">
        <f>0.3*4</f>
        <v>1.2</v>
      </c>
      <c r="D95" s="359"/>
      <c r="E95" s="398">
        <v>0.62</v>
      </c>
      <c r="F95" s="360"/>
      <c r="G95" s="360"/>
      <c r="H95" s="398">
        <v>4</v>
      </c>
      <c r="I95" s="398">
        <f>C95*E95*H95</f>
        <v>2.976</v>
      </c>
      <c r="J95" s="361" t="s">
        <v>256</v>
      </c>
    </row>
    <row r="96" spans="1:10" ht="19.5" thickTop="1" thickBot="1" x14ac:dyDescent="0.35">
      <c r="A96" s="371"/>
      <c r="B96" s="404"/>
      <c r="C96" s="405"/>
      <c r="D96" s="406"/>
      <c r="E96" s="407"/>
      <c r="F96" s="404"/>
      <c r="G96" s="476" t="s">
        <v>314</v>
      </c>
      <c r="H96" s="477"/>
      <c r="I96" s="408">
        <f>SUM(I95:I95)</f>
        <v>2.976</v>
      </c>
      <c r="J96" s="409" t="s">
        <v>812</v>
      </c>
    </row>
    <row r="97" spans="1:13" ht="18.75" thickBot="1" x14ac:dyDescent="0.35">
      <c r="A97" s="371">
        <f>A95+1</f>
        <v>8</v>
      </c>
      <c r="B97" s="399" t="s">
        <v>745</v>
      </c>
      <c r="C97" s="364">
        <v>0.3</v>
      </c>
      <c r="D97" s="359">
        <v>0.3</v>
      </c>
      <c r="E97" s="398">
        <v>0.62</v>
      </c>
      <c r="F97" s="360"/>
      <c r="G97" s="360"/>
      <c r="H97" s="398">
        <v>4</v>
      </c>
      <c r="I97" s="398">
        <f>C97*D97*E97*H97</f>
        <v>0.22319999999999998</v>
      </c>
      <c r="J97" s="361" t="s">
        <v>256</v>
      </c>
    </row>
    <row r="98" spans="1:13" ht="19.5" thickTop="1" thickBot="1" x14ac:dyDescent="0.35">
      <c r="A98" s="371"/>
      <c r="B98" s="404"/>
      <c r="C98" s="405"/>
      <c r="D98" s="406"/>
      <c r="E98" s="407"/>
      <c r="F98" s="404"/>
      <c r="G98" s="476" t="s">
        <v>314</v>
      </c>
      <c r="H98" s="477"/>
      <c r="I98" s="408">
        <f>SUM(I97:I97)</f>
        <v>0.22319999999999998</v>
      </c>
      <c r="J98" s="409" t="s">
        <v>812</v>
      </c>
      <c r="L98" s="135" t="s">
        <v>756</v>
      </c>
      <c r="M98" s="135" t="s">
        <v>219</v>
      </c>
    </row>
    <row r="99" spans="1:13" ht="18" x14ac:dyDescent="0.3">
      <c r="A99" s="371">
        <f>A97+1</f>
        <v>9</v>
      </c>
      <c r="B99" s="399" t="s">
        <v>755</v>
      </c>
      <c r="C99" s="364">
        <v>0.3</v>
      </c>
      <c r="D99" s="359">
        <v>0.16</v>
      </c>
      <c r="E99" s="398"/>
      <c r="F99" s="360"/>
      <c r="G99" s="360"/>
      <c r="H99" s="398">
        <v>4</v>
      </c>
      <c r="I99" s="398">
        <f>C99*D99*H99</f>
        <v>0.192</v>
      </c>
      <c r="J99" s="361" t="s">
        <v>256</v>
      </c>
      <c r="L99" s="135">
        <f>1.2*2.4</f>
        <v>2.88</v>
      </c>
      <c r="M99" s="135">
        <v>472</v>
      </c>
    </row>
    <row r="100" spans="1:13" ht="18.75" thickBot="1" x14ac:dyDescent="0.35">
      <c r="A100" s="371"/>
      <c r="B100" s="410"/>
      <c r="C100" s="364">
        <v>0.23</v>
      </c>
      <c r="D100" s="359">
        <v>0.14000000000000001</v>
      </c>
      <c r="E100" s="398"/>
      <c r="F100" s="360"/>
      <c r="G100" s="360"/>
      <c r="H100" s="398">
        <v>4</v>
      </c>
      <c r="I100" s="398">
        <f>C100*D100*H100</f>
        <v>0.12880000000000003</v>
      </c>
      <c r="J100" s="361" t="s">
        <v>256</v>
      </c>
    </row>
    <row r="101" spans="1:13" ht="19.5" thickTop="1" thickBot="1" x14ac:dyDescent="0.35">
      <c r="A101" s="371"/>
      <c r="B101" s="410"/>
      <c r="C101" s="348"/>
      <c r="D101" s="411"/>
      <c r="E101" s="412"/>
      <c r="F101" s="410"/>
      <c r="G101" s="476" t="s">
        <v>314</v>
      </c>
      <c r="H101" s="477"/>
      <c r="I101" s="408">
        <f>SUM(I99:I100)</f>
        <v>0.32080000000000003</v>
      </c>
      <c r="J101" s="409" t="s">
        <v>812</v>
      </c>
    </row>
    <row r="102" spans="1:13" ht="18" thickTop="1" thickBot="1" x14ac:dyDescent="0.35">
      <c r="A102" s="371"/>
      <c r="B102" s="404"/>
      <c r="C102" s="405"/>
      <c r="D102" s="406"/>
      <c r="E102" s="407"/>
      <c r="F102" s="404"/>
      <c r="G102" s="476" t="s">
        <v>314</v>
      </c>
      <c r="H102" s="477"/>
      <c r="I102" s="408">
        <f>I101*M102</f>
        <v>52.57555555555556</v>
      </c>
      <c r="J102" s="409" t="s">
        <v>186</v>
      </c>
      <c r="L102" s="413">
        <f>1*1</f>
        <v>1</v>
      </c>
      <c r="M102" s="413">
        <f>M99/L99</f>
        <v>163.88888888888889</v>
      </c>
    </row>
    <row r="103" spans="1:13" ht="18" x14ac:dyDescent="0.3">
      <c r="A103" s="371">
        <f>A99+1</f>
        <v>10</v>
      </c>
      <c r="B103" s="399" t="s">
        <v>759</v>
      </c>
      <c r="C103" s="364">
        <v>7.09</v>
      </c>
      <c r="D103" s="359"/>
      <c r="E103" s="398"/>
      <c r="F103" s="360"/>
      <c r="G103" s="360"/>
      <c r="H103" s="398">
        <v>4</v>
      </c>
      <c r="I103" s="398">
        <f>C103*H103</f>
        <v>28.36</v>
      </c>
      <c r="J103" s="361" t="s">
        <v>424</v>
      </c>
      <c r="L103" s="413"/>
      <c r="M103" s="413"/>
    </row>
    <row r="104" spans="1:13" ht="18.75" thickBot="1" x14ac:dyDescent="0.35">
      <c r="A104" s="371"/>
      <c r="B104" s="410"/>
      <c r="C104" s="364">
        <v>3.22</v>
      </c>
      <c r="D104" s="359"/>
      <c r="E104" s="398"/>
      <c r="F104" s="360"/>
      <c r="G104" s="360"/>
      <c r="H104" s="398">
        <v>2</v>
      </c>
      <c r="I104" s="398">
        <f>C104*H104</f>
        <v>6.44</v>
      </c>
      <c r="J104" s="361" t="s">
        <v>424</v>
      </c>
    </row>
    <row r="105" spans="1:13" ht="19.5" thickTop="1" thickBot="1" x14ac:dyDescent="0.35">
      <c r="A105" s="371"/>
      <c r="B105" s="410"/>
      <c r="C105" s="348"/>
      <c r="D105" s="411"/>
      <c r="E105" s="412"/>
      <c r="F105" s="410"/>
      <c r="G105" s="476" t="s">
        <v>314</v>
      </c>
      <c r="H105" s="477"/>
      <c r="I105" s="408">
        <f>SUM(I103:I104)</f>
        <v>34.799999999999997</v>
      </c>
      <c r="J105" s="409" t="s">
        <v>812</v>
      </c>
    </row>
    <row r="106" spans="1:13" ht="18" thickTop="1" thickBot="1" x14ac:dyDescent="0.35">
      <c r="A106" s="371"/>
      <c r="B106" s="404"/>
      <c r="C106" s="405"/>
      <c r="D106" s="406"/>
      <c r="E106" s="407"/>
      <c r="F106" s="404"/>
      <c r="G106" s="476" t="s">
        <v>314</v>
      </c>
      <c r="H106" s="477"/>
      <c r="I106" s="408">
        <f>18.1*I105</f>
        <v>629.88</v>
      </c>
      <c r="J106" s="409" t="s">
        <v>186</v>
      </c>
    </row>
    <row r="107" spans="1:13" ht="18" x14ac:dyDescent="0.3">
      <c r="A107" s="371">
        <f>A103+1</f>
        <v>11</v>
      </c>
      <c r="B107" s="399" t="s">
        <v>761</v>
      </c>
      <c r="C107" s="364">
        <f>3.05+2.3+2.5+2.3+2.3+3+2.3+2.42+2.3</f>
        <v>22.470000000000002</v>
      </c>
      <c r="D107" s="359"/>
      <c r="E107" s="398"/>
      <c r="F107" s="360"/>
      <c r="G107" s="360"/>
      <c r="H107" s="398">
        <v>4</v>
      </c>
      <c r="I107" s="398">
        <f>C107*H107</f>
        <v>89.88000000000001</v>
      </c>
      <c r="J107" s="361" t="s">
        <v>256</v>
      </c>
    </row>
    <row r="108" spans="1:13" ht="17.25" thickBot="1" x14ac:dyDescent="0.35">
      <c r="A108" s="371"/>
      <c r="B108" s="410"/>
      <c r="C108" s="364"/>
      <c r="D108" s="359"/>
      <c r="E108" s="398"/>
      <c r="F108" s="360"/>
      <c r="G108" s="360"/>
      <c r="H108" s="398"/>
      <c r="I108" s="398"/>
      <c r="J108" s="361"/>
    </row>
    <row r="109" spans="1:13" ht="19.5" thickTop="1" thickBot="1" x14ac:dyDescent="0.35">
      <c r="A109" s="371"/>
      <c r="B109" s="410"/>
      <c r="C109" s="348"/>
      <c r="D109" s="411"/>
      <c r="E109" s="412"/>
      <c r="F109" s="410"/>
      <c r="G109" s="476" t="s">
        <v>314</v>
      </c>
      <c r="H109" s="477"/>
      <c r="I109" s="408">
        <f>SUM(I107:I108)</f>
        <v>89.88000000000001</v>
      </c>
      <c r="J109" s="409" t="s">
        <v>812</v>
      </c>
    </row>
    <row r="110" spans="1:13" ht="18" thickTop="1" thickBot="1" x14ac:dyDescent="0.35">
      <c r="A110" s="371"/>
      <c r="B110" s="404"/>
      <c r="C110" s="405"/>
      <c r="D110" s="406"/>
      <c r="E110" s="407"/>
      <c r="F110" s="404"/>
      <c r="G110" s="476" t="s">
        <v>314</v>
      </c>
      <c r="H110" s="477"/>
      <c r="I110" s="414">
        <f>I109*M110</f>
        <v>715.4448000000001</v>
      </c>
      <c r="J110" s="409" t="s">
        <v>186</v>
      </c>
      <c r="L110" s="135">
        <v>47.76</v>
      </c>
      <c r="M110" s="135">
        <f>L110/6</f>
        <v>7.96</v>
      </c>
    </row>
    <row r="111" spans="1:13" ht="16.5" x14ac:dyDescent="0.3">
      <c r="A111" s="352" t="s">
        <v>360</v>
      </c>
      <c r="B111" s="353" t="s">
        <v>361</v>
      </c>
      <c r="C111" s="354"/>
      <c r="D111" s="354"/>
      <c r="E111" s="355"/>
      <c r="F111" s="355"/>
      <c r="G111" s="355"/>
      <c r="H111" s="355"/>
      <c r="I111" s="355"/>
      <c r="J111" s="356"/>
    </row>
    <row r="112" spans="1:13" ht="16.5" x14ac:dyDescent="0.3">
      <c r="A112" s="362" t="s">
        <v>325</v>
      </c>
      <c r="B112" s="363" t="s">
        <v>364</v>
      </c>
      <c r="C112" s="364"/>
      <c r="D112" s="359"/>
      <c r="E112" s="360"/>
      <c r="F112" s="360"/>
      <c r="G112" s="360"/>
      <c r="H112" s="360"/>
      <c r="I112" s="360"/>
      <c r="J112" s="370"/>
    </row>
    <row r="113" spans="1:10" ht="18" x14ac:dyDescent="0.3">
      <c r="A113" s="371">
        <v>1</v>
      </c>
      <c r="B113" s="366" t="s">
        <v>363</v>
      </c>
      <c r="C113" s="364">
        <v>10.65</v>
      </c>
      <c r="D113" s="359">
        <v>9.85</v>
      </c>
      <c r="E113" s="360">
        <v>7.0000000000000007E-2</v>
      </c>
      <c r="F113" s="360"/>
      <c r="G113" s="360"/>
      <c r="H113" s="369">
        <v>1</v>
      </c>
      <c r="I113" s="398">
        <f>C113*D113*E113*H113</f>
        <v>7.3431750000000013</v>
      </c>
      <c r="J113" s="370" t="s">
        <v>281</v>
      </c>
    </row>
    <row r="114" spans="1:10" ht="18.75" thickBot="1" x14ac:dyDescent="0.35">
      <c r="A114" s="371"/>
      <c r="B114" s="415" t="s">
        <v>607</v>
      </c>
      <c r="C114" s="364">
        <v>2.1</v>
      </c>
      <c r="D114" s="359">
        <v>2.1</v>
      </c>
      <c r="E114" s="360">
        <v>7.0000000000000007E-2</v>
      </c>
      <c r="F114" s="360"/>
      <c r="G114" s="360"/>
      <c r="H114" s="369">
        <v>-1</v>
      </c>
      <c r="I114" s="398">
        <f>C114*D114*E114*H114</f>
        <v>-0.30870000000000003</v>
      </c>
      <c r="J114" s="370" t="s">
        <v>281</v>
      </c>
    </row>
    <row r="115" spans="1:10" ht="19.5" thickTop="1" thickBot="1" x14ac:dyDescent="0.35">
      <c r="A115" s="371"/>
      <c r="B115" s="372"/>
      <c r="C115" s="384"/>
      <c r="D115" s="373"/>
      <c r="E115" s="374"/>
      <c r="F115" s="372"/>
      <c r="G115" s="482" t="s">
        <v>314</v>
      </c>
      <c r="H115" s="483"/>
      <c r="I115" s="375">
        <f>SUM(I113:I114)</f>
        <v>7.0344750000000014</v>
      </c>
      <c r="J115" s="376" t="s">
        <v>812</v>
      </c>
    </row>
    <row r="116" spans="1:10" ht="18" x14ac:dyDescent="0.3">
      <c r="A116" s="371">
        <v>2</v>
      </c>
      <c r="B116" s="379" t="s">
        <v>664</v>
      </c>
      <c r="C116" s="385">
        <v>10.65</v>
      </c>
      <c r="D116" s="378">
        <v>9.85</v>
      </c>
      <c r="E116" s="379">
        <v>0.04</v>
      </c>
      <c r="F116" s="379"/>
      <c r="G116" s="379"/>
      <c r="H116" s="386">
        <v>1</v>
      </c>
      <c r="I116" s="386">
        <f>C116*D116*E116*H116</f>
        <v>4.1961000000000004</v>
      </c>
      <c r="J116" s="380" t="s">
        <v>281</v>
      </c>
    </row>
    <row r="117" spans="1:10" ht="18.75" thickBot="1" x14ac:dyDescent="0.35">
      <c r="A117" s="371"/>
      <c r="B117" s="415" t="s">
        <v>665</v>
      </c>
      <c r="C117" s="364">
        <v>2.1</v>
      </c>
      <c r="D117" s="359">
        <v>2.1</v>
      </c>
      <c r="E117" s="360">
        <v>0.04</v>
      </c>
      <c r="F117" s="360"/>
      <c r="G117" s="360"/>
      <c r="H117" s="369">
        <v>-1</v>
      </c>
      <c r="I117" s="398">
        <f>C117*D117*E117*H117</f>
        <v>-0.1764</v>
      </c>
      <c r="J117" s="370" t="s">
        <v>281</v>
      </c>
    </row>
    <row r="118" spans="1:10" ht="19.5" thickTop="1" thickBot="1" x14ac:dyDescent="0.35">
      <c r="A118" s="371"/>
      <c r="B118" s="372"/>
      <c r="C118" s="384"/>
      <c r="D118" s="373"/>
      <c r="E118" s="374"/>
      <c r="F118" s="372"/>
      <c r="G118" s="482" t="s">
        <v>314</v>
      </c>
      <c r="H118" s="483"/>
      <c r="I118" s="375">
        <f>SUM(I116:I117)</f>
        <v>4.0197000000000003</v>
      </c>
      <c r="J118" s="376" t="s">
        <v>812</v>
      </c>
    </row>
    <row r="119" spans="1:10" ht="16.5" x14ac:dyDescent="0.3">
      <c r="A119" s="371"/>
      <c r="B119" s="379"/>
      <c r="C119" s="385"/>
      <c r="D119" s="378"/>
      <c r="E119" s="386"/>
      <c r="F119" s="379"/>
      <c r="G119" s="386"/>
      <c r="H119" s="386"/>
      <c r="I119" s="387"/>
      <c r="J119" s="388"/>
    </row>
    <row r="120" spans="1:10" ht="16.5" x14ac:dyDescent="0.3">
      <c r="A120" s="362" t="s">
        <v>328</v>
      </c>
      <c r="B120" s="363" t="s">
        <v>366</v>
      </c>
      <c r="C120" s="367"/>
      <c r="D120" s="368"/>
      <c r="E120" s="369"/>
      <c r="F120" s="366"/>
      <c r="G120" s="369"/>
      <c r="H120" s="369"/>
      <c r="I120" s="381"/>
      <c r="J120" s="416"/>
    </row>
    <row r="121" spans="1:10" ht="18.75" thickBot="1" x14ac:dyDescent="0.35">
      <c r="A121" s="371">
        <v>1</v>
      </c>
      <c r="B121" s="366" t="s">
        <v>367</v>
      </c>
      <c r="C121" s="364">
        <f>10.5+1.2+1.2</f>
        <v>12.899999999999999</v>
      </c>
      <c r="D121" s="359">
        <f>10+1.2+1.2</f>
        <v>12.399999999999999</v>
      </c>
      <c r="E121" s="360"/>
      <c r="F121" s="360"/>
      <c r="G121" s="360"/>
      <c r="H121" s="369">
        <v>1.0900000000000001</v>
      </c>
      <c r="I121" s="398">
        <f>C121*D121*H121</f>
        <v>174.35639999999995</v>
      </c>
      <c r="J121" s="370" t="s">
        <v>281</v>
      </c>
    </row>
    <row r="122" spans="1:10" ht="19.5" thickTop="1" thickBot="1" x14ac:dyDescent="0.35">
      <c r="A122" s="371"/>
      <c r="B122" s="372"/>
      <c r="C122" s="384"/>
      <c r="D122" s="373"/>
      <c r="E122" s="374"/>
      <c r="F122" s="372"/>
      <c r="G122" s="482" t="s">
        <v>314</v>
      </c>
      <c r="H122" s="483"/>
      <c r="I122" s="375">
        <f>SUM(I121)</f>
        <v>174.35639999999995</v>
      </c>
      <c r="J122" s="376" t="s">
        <v>812</v>
      </c>
    </row>
    <row r="123" spans="1:10" ht="16.5" x14ac:dyDescent="0.3">
      <c r="A123" s="371"/>
      <c r="B123" s="379"/>
      <c r="C123" s="385"/>
      <c r="D123" s="378"/>
      <c r="E123" s="386"/>
      <c r="F123" s="379"/>
      <c r="G123" s="386"/>
      <c r="H123" s="386"/>
      <c r="I123" s="387"/>
      <c r="J123" s="388"/>
    </row>
    <row r="124" spans="1:10" ht="18.75" thickBot="1" x14ac:dyDescent="0.35">
      <c r="A124" s="371">
        <v>2</v>
      </c>
      <c r="B124" s="366" t="s">
        <v>369</v>
      </c>
      <c r="C124" s="364">
        <f>((10.5+1.2+1.2)*2)+(((10+1.2+1.2)*2)*1.12)</f>
        <v>53.575999999999993</v>
      </c>
      <c r="D124" s="359"/>
      <c r="E124" s="360"/>
      <c r="F124" s="360"/>
      <c r="G124" s="360"/>
      <c r="H124" s="369">
        <v>1</v>
      </c>
      <c r="I124" s="398">
        <f>C124*H124</f>
        <v>53.575999999999993</v>
      </c>
      <c r="J124" s="370" t="s">
        <v>281</v>
      </c>
    </row>
    <row r="125" spans="1:10" ht="19.5" thickTop="1" thickBot="1" x14ac:dyDescent="0.35">
      <c r="A125" s="371"/>
      <c r="B125" s="372"/>
      <c r="C125" s="384"/>
      <c r="D125" s="373"/>
      <c r="E125" s="374"/>
      <c r="F125" s="372"/>
      <c r="G125" s="482" t="s">
        <v>314</v>
      </c>
      <c r="H125" s="483"/>
      <c r="I125" s="375">
        <f>SUM(I124)</f>
        <v>53.575999999999993</v>
      </c>
      <c r="J125" s="376" t="s">
        <v>812</v>
      </c>
    </row>
    <row r="126" spans="1:10" ht="16.5" x14ac:dyDescent="0.3">
      <c r="A126" s="371"/>
      <c r="B126" s="379"/>
      <c r="C126" s="385"/>
      <c r="D126" s="378"/>
      <c r="E126" s="386"/>
      <c r="F126" s="379"/>
      <c r="G126" s="386"/>
      <c r="H126" s="386"/>
      <c r="I126" s="387"/>
      <c r="J126" s="388"/>
    </row>
    <row r="127" spans="1:10" ht="18.75" thickBot="1" x14ac:dyDescent="0.35">
      <c r="A127" s="371">
        <v>3</v>
      </c>
      <c r="B127" s="366" t="s">
        <v>373</v>
      </c>
      <c r="C127" s="364">
        <v>10.15</v>
      </c>
      <c r="D127" s="359">
        <v>2.2599999999999998</v>
      </c>
      <c r="E127" s="360"/>
      <c r="F127" s="360"/>
      <c r="G127" s="360"/>
      <c r="H127" s="369">
        <v>0.5</v>
      </c>
      <c r="I127" s="398">
        <f>C127*H127</f>
        <v>5.0750000000000002</v>
      </c>
      <c r="J127" s="370" t="s">
        <v>281</v>
      </c>
    </row>
    <row r="128" spans="1:10" ht="19.5" thickTop="1" thickBot="1" x14ac:dyDescent="0.35">
      <c r="A128" s="371"/>
      <c r="B128" s="372"/>
      <c r="C128" s="384"/>
      <c r="D128" s="373"/>
      <c r="E128" s="374"/>
      <c r="F128" s="372"/>
      <c r="G128" s="482" t="s">
        <v>314</v>
      </c>
      <c r="H128" s="483"/>
      <c r="I128" s="375">
        <f>SUM(I127)</f>
        <v>5.0750000000000002</v>
      </c>
      <c r="J128" s="376" t="s">
        <v>812</v>
      </c>
    </row>
    <row r="129" spans="1:10" ht="16.5" x14ac:dyDescent="0.3">
      <c r="A129" s="371"/>
      <c r="B129" s="379"/>
      <c r="C129" s="385"/>
      <c r="D129" s="378"/>
      <c r="E129" s="386"/>
      <c r="F129" s="379"/>
      <c r="G129" s="386"/>
      <c r="H129" s="386"/>
      <c r="I129" s="387"/>
      <c r="J129" s="388"/>
    </row>
    <row r="130" spans="1:10" ht="18.75" thickBot="1" x14ac:dyDescent="0.35">
      <c r="A130" s="371">
        <v>4</v>
      </c>
      <c r="B130" s="366" t="s">
        <v>639</v>
      </c>
      <c r="C130" s="364">
        <v>3.2</v>
      </c>
      <c r="D130" s="359">
        <v>0.4</v>
      </c>
      <c r="E130" s="360"/>
      <c r="F130" s="360"/>
      <c r="G130" s="360"/>
      <c r="H130" s="369">
        <v>6</v>
      </c>
      <c r="I130" s="398">
        <f>C130*D130*H130</f>
        <v>7.6800000000000015</v>
      </c>
      <c r="J130" s="370" t="s">
        <v>281</v>
      </c>
    </row>
    <row r="131" spans="1:10" ht="19.5" thickTop="1" thickBot="1" x14ac:dyDescent="0.35">
      <c r="A131" s="371"/>
      <c r="B131" s="372"/>
      <c r="C131" s="384"/>
      <c r="D131" s="373"/>
      <c r="E131" s="374"/>
      <c r="F131" s="372"/>
      <c r="G131" s="482" t="s">
        <v>314</v>
      </c>
      <c r="H131" s="483"/>
      <c r="I131" s="375">
        <f>SUM(I130)</f>
        <v>7.6800000000000015</v>
      </c>
      <c r="J131" s="376" t="s">
        <v>812</v>
      </c>
    </row>
    <row r="132" spans="1:10" ht="16.5" x14ac:dyDescent="0.3">
      <c r="A132" s="371"/>
      <c r="B132" s="379"/>
      <c r="C132" s="385"/>
      <c r="D132" s="378"/>
      <c r="E132" s="386"/>
      <c r="F132" s="379"/>
      <c r="G132" s="386"/>
      <c r="H132" s="386"/>
      <c r="I132" s="387"/>
      <c r="J132" s="388"/>
    </row>
    <row r="133" spans="1:10" ht="18.75" thickBot="1" x14ac:dyDescent="0.35">
      <c r="A133" s="371">
        <v>5</v>
      </c>
      <c r="B133" s="366" t="s">
        <v>645</v>
      </c>
      <c r="C133" s="364">
        <f>3.2+3.2+(0.3*5)</f>
        <v>7.9</v>
      </c>
      <c r="D133" s="359"/>
      <c r="E133" s="360"/>
      <c r="F133" s="360"/>
      <c r="G133" s="360"/>
      <c r="H133" s="369">
        <v>6</v>
      </c>
      <c r="I133" s="398">
        <f>C133*H133</f>
        <v>47.400000000000006</v>
      </c>
      <c r="J133" s="370" t="s">
        <v>424</v>
      </c>
    </row>
    <row r="134" spans="1:10" ht="19.5" thickTop="1" thickBot="1" x14ac:dyDescent="0.35">
      <c r="A134" s="371"/>
      <c r="B134" s="372"/>
      <c r="C134" s="384"/>
      <c r="D134" s="373"/>
      <c r="E134" s="374"/>
      <c r="F134" s="372"/>
      <c r="G134" s="482" t="s">
        <v>314</v>
      </c>
      <c r="H134" s="483"/>
      <c r="I134" s="375">
        <f>SUM(I133)</f>
        <v>47.400000000000006</v>
      </c>
      <c r="J134" s="376" t="s">
        <v>813</v>
      </c>
    </row>
    <row r="135" spans="1:10" ht="16.5" x14ac:dyDescent="0.3">
      <c r="A135" s="371"/>
      <c r="B135" s="379"/>
      <c r="C135" s="385"/>
      <c r="D135" s="378"/>
      <c r="E135" s="386"/>
      <c r="F135" s="379"/>
      <c r="G135" s="386"/>
      <c r="H135" s="386"/>
      <c r="I135" s="387"/>
      <c r="J135" s="388"/>
    </row>
    <row r="136" spans="1:10" ht="18" x14ac:dyDescent="0.3">
      <c r="A136" s="371">
        <v>6</v>
      </c>
      <c r="B136" s="366" t="s">
        <v>374</v>
      </c>
      <c r="C136" s="367">
        <f>10.07+10.07+10.015</f>
        <v>30.155000000000001</v>
      </c>
      <c r="D136" s="368">
        <f>7-0.15</f>
        <v>6.85</v>
      </c>
      <c r="E136" s="366"/>
      <c r="F136" s="366"/>
      <c r="G136" s="366"/>
      <c r="H136" s="369">
        <v>2</v>
      </c>
      <c r="I136" s="398">
        <f>C136*D136*H136</f>
        <v>413.12349999999998</v>
      </c>
      <c r="J136" s="370" t="s">
        <v>281</v>
      </c>
    </row>
    <row r="137" spans="1:10" ht="18" x14ac:dyDescent="0.3">
      <c r="A137" s="371"/>
      <c r="B137" s="366"/>
      <c r="C137" s="367">
        <v>10.015000000000001</v>
      </c>
      <c r="D137" s="368">
        <f>7-0.15</f>
        <v>6.85</v>
      </c>
      <c r="E137" s="366"/>
      <c r="F137" s="366"/>
      <c r="G137" s="366"/>
      <c r="H137" s="369">
        <v>1</v>
      </c>
      <c r="I137" s="398">
        <f>C137*D137*H137</f>
        <v>68.60275</v>
      </c>
      <c r="J137" s="370" t="s">
        <v>281</v>
      </c>
    </row>
    <row r="138" spans="1:10" ht="18" x14ac:dyDescent="0.3">
      <c r="A138" s="371"/>
      <c r="B138" s="417" t="s">
        <v>604</v>
      </c>
      <c r="C138" s="367">
        <v>3.2</v>
      </c>
      <c r="D138" s="368">
        <v>0.4</v>
      </c>
      <c r="E138" s="366"/>
      <c r="F138" s="366"/>
      <c r="G138" s="366"/>
      <c r="H138" s="369">
        <v>-12</v>
      </c>
      <c r="I138" s="398">
        <f>C138*D138*H138</f>
        <v>-15.360000000000003</v>
      </c>
      <c r="J138" s="370" t="s">
        <v>281</v>
      </c>
    </row>
    <row r="139" spans="1:10" ht="18" x14ac:dyDescent="0.3">
      <c r="A139" s="371"/>
      <c r="B139" s="417" t="s">
        <v>605</v>
      </c>
      <c r="C139" s="384">
        <v>3.15</v>
      </c>
      <c r="D139" s="373">
        <v>2.48</v>
      </c>
      <c r="E139" s="372"/>
      <c r="F139" s="372"/>
      <c r="G139" s="366"/>
      <c r="H139" s="369">
        <v>-2</v>
      </c>
      <c r="I139" s="398">
        <f>C139*D139*H139</f>
        <v>-15.623999999999999</v>
      </c>
      <c r="J139" s="370" t="s">
        <v>281</v>
      </c>
    </row>
    <row r="140" spans="1:10" ht="18.75" thickBot="1" x14ac:dyDescent="0.35">
      <c r="A140" s="371"/>
      <c r="B140" s="417" t="s">
        <v>606</v>
      </c>
      <c r="C140" s="384">
        <v>4.7</v>
      </c>
      <c r="D140" s="373">
        <v>5.4</v>
      </c>
      <c r="E140" s="372"/>
      <c r="F140" s="372"/>
      <c r="G140" s="418"/>
      <c r="H140" s="369">
        <v>-1</v>
      </c>
      <c r="I140" s="398">
        <f>C140*D140*H140</f>
        <v>-25.380000000000003</v>
      </c>
      <c r="J140" s="370" t="s">
        <v>281</v>
      </c>
    </row>
    <row r="141" spans="1:10" ht="19.5" thickTop="1" thickBot="1" x14ac:dyDescent="0.35">
      <c r="A141" s="371"/>
      <c r="B141" s="372"/>
      <c r="C141" s="384"/>
      <c r="D141" s="373"/>
      <c r="E141" s="374"/>
      <c r="F141" s="372"/>
      <c r="G141" s="482" t="s">
        <v>314</v>
      </c>
      <c r="H141" s="483"/>
      <c r="I141" s="375">
        <f>SUM(I136:I140)</f>
        <v>425.36224999999996</v>
      </c>
      <c r="J141" s="376" t="s">
        <v>812</v>
      </c>
    </row>
    <row r="142" spans="1:10" ht="16.5" x14ac:dyDescent="0.3">
      <c r="A142" s="371"/>
      <c r="B142" s="379"/>
      <c r="C142" s="385"/>
      <c r="D142" s="378"/>
      <c r="E142" s="386"/>
      <c r="F142" s="379"/>
      <c r="G142" s="386"/>
      <c r="H142" s="386"/>
      <c r="I142" s="387"/>
      <c r="J142" s="388"/>
    </row>
    <row r="143" spans="1:10" ht="18.75" thickBot="1" x14ac:dyDescent="0.35">
      <c r="A143" s="371">
        <v>7</v>
      </c>
      <c r="B143" s="366" t="s">
        <v>637</v>
      </c>
      <c r="C143" s="367">
        <f>3.2+3.2+(0.3*5)</f>
        <v>7.9</v>
      </c>
      <c r="D143" s="368">
        <f>0.05+0.05+0.13</f>
        <v>0.23</v>
      </c>
      <c r="E143" s="366"/>
      <c r="F143" s="366"/>
      <c r="G143" s="366"/>
      <c r="H143" s="369">
        <v>6</v>
      </c>
      <c r="I143" s="398">
        <f>C143*D143*H143</f>
        <v>10.902000000000001</v>
      </c>
      <c r="J143" s="370" t="s">
        <v>281</v>
      </c>
    </row>
    <row r="144" spans="1:10" ht="19.5" thickTop="1" thickBot="1" x14ac:dyDescent="0.35">
      <c r="A144" s="371"/>
      <c r="B144" s="410"/>
      <c r="C144" s="348"/>
      <c r="D144" s="411"/>
      <c r="E144" s="412"/>
      <c r="F144" s="410"/>
      <c r="G144" s="482" t="s">
        <v>314</v>
      </c>
      <c r="H144" s="483"/>
      <c r="I144" s="375">
        <f>SUM(I143)</f>
        <v>10.902000000000001</v>
      </c>
      <c r="J144" s="376" t="s">
        <v>812</v>
      </c>
    </row>
    <row r="145" spans="1:10" ht="16.5" x14ac:dyDescent="0.3">
      <c r="A145" s="371"/>
      <c r="B145" s="379"/>
      <c r="C145" s="385"/>
      <c r="D145" s="378"/>
      <c r="E145" s="386"/>
      <c r="F145" s="379"/>
      <c r="G145" s="386"/>
      <c r="H145" s="386"/>
      <c r="I145" s="387"/>
      <c r="J145" s="388"/>
    </row>
    <row r="146" spans="1:10" ht="18" x14ac:dyDescent="0.3">
      <c r="A146" s="371">
        <v>8</v>
      </c>
      <c r="B146" s="366" t="s">
        <v>399</v>
      </c>
      <c r="C146" s="364">
        <v>10.65</v>
      </c>
      <c r="D146" s="359">
        <v>9.85</v>
      </c>
      <c r="E146" s="360"/>
      <c r="F146" s="360"/>
      <c r="G146" s="360"/>
      <c r="H146" s="369">
        <v>1</v>
      </c>
      <c r="I146" s="398">
        <f>C146*D146*H146</f>
        <v>104.9025</v>
      </c>
      <c r="J146" s="370" t="s">
        <v>281</v>
      </c>
    </row>
    <row r="147" spans="1:10" ht="18.75" thickBot="1" x14ac:dyDescent="0.35">
      <c r="A147" s="371"/>
      <c r="B147" s="415" t="s">
        <v>646</v>
      </c>
      <c r="C147" s="348">
        <v>2.1</v>
      </c>
      <c r="D147" s="411">
        <v>2.1</v>
      </c>
      <c r="E147" s="360"/>
      <c r="F147" s="360"/>
      <c r="G147" s="360"/>
      <c r="H147" s="369">
        <v>-1</v>
      </c>
      <c r="I147" s="398">
        <f>C147*D147*H147</f>
        <v>-4.41</v>
      </c>
      <c r="J147" s="370" t="s">
        <v>281</v>
      </c>
    </row>
    <row r="148" spans="1:10" ht="19.5" thickTop="1" thickBot="1" x14ac:dyDescent="0.35">
      <c r="A148" s="371"/>
      <c r="B148" s="372"/>
      <c r="C148" s="384"/>
      <c r="D148" s="373"/>
      <c r="E148" s="374"/>
      <c r="F148" s="372"/>
      <c r="G148" s="482" t="s">
        <v>314</v>
      </c>
      <c r="H148" s="483"/>
      <c r="I148" s="375">
        <f>SUM(I146:I147)</f>
        <v>100.49250000000001</v>
      </c>
      <c r="J148" s="376" t="s">
        <v>812</v>
      </c>
    </row>
    <row r="149" spans="1:10" ht="16.5" x14ac:dyDescent="0.3">
      <c r="A149" s="371"/>
      <c r="B149" s="379"/>
      <c r="C149" s="385"/>
      <c r="D149" s="378"/>
      <c r="E149" s="386"/>
      <c r="F149" s="379"/>
      <c r="G149" s="386"/>
      <c r="H149" s="386"/>
      <c r="I149" s="387"/>
      <c r="J149" s="388"/>
    </row>
    <row r="150" spans="1:10" ht="18" x14ac:dyDescent="0.3">
      <c r="A150" s="371">
        <v>9</v>
      </c>
      <c r="B150" s="366" t="s">
        <v>400</v>
      </c>
      <c r="C150" s="364">
        <v>10.35</v>
      </c>
      <c r="D150" s="359">
        <v>9.85</v>
      </c>
      <c r="E150" s="360"/>
      <c r="F150" s="360"/>
      <c r="G150" s="360"/>
      <c r="H150" s="369">
        <v>1</v>
      </c>
      <c r="I150" s="398">
        <f>C150*D150*H150</f>
        <v>101.94749999999999</v>
      </c>
      <c r="J150" s="370" t="s">
        <v>281</v>
      </c>
    </row>
    <row r="151" spans="1:10" ht="18" x14ac:dyDescent="0.3">
      <c r="A151" s="371"/>
      <c r="B151" s="415" t="s">
        <v>646</v>
      </c>
      <c r="C151" s="348">
        <v>1.2</v>
      </c>
      <c r="D151" s="411">
        <v>4.3899999999999997</v>
      </c>
      <c r="E151" s="360"/>
      <c r="F151" s="360"/>
      <c r="G151" s="360"/>
      <c r="H151" s="369">
        <v>-1</v>
      </c>
      <c r="I151" s="398">
        <f>C151*D151*H151</f>
        <v>-5.2679999999999998</v>
      </c>
      <c r="J151" s="370" t="s">
        <v>281</v>
      </c>
    </row>
    <row r="152" spans="1:10" ht="18.75" thickBot="1" x14ac:dyDescent="0.35">
      <c r="A152" s="371"/>
      <c r="B152" s="372"/>
      <c r="C152" s="348">
        <v>2.1</v>
      </c>
      <c r="D152" s="411">
        <v>2.1</v>
      </c>
      <c r="E152" s="360"/>
      <c r="F152" s="360"/>
      <c r="G152" s="360"/>
      <c r="H152" s="369">
        <v>-1</v>
      </c>
      <c r="I152" s="398">
        <f>C152*D152*H152</f>
        <v>-4.41</v>
      </c>
      <c r="J152" s="370" t="s">
        <v>281</v>
      </c>
    </row>
    <row r="153" spans="1:10" ht="19.5" thickTop="1" thickBot="1" x14ac:dyDescent="0.35">
      <c r="A153" s="371"/>
      <c r="B153" s="372"/>
      <c r="C153" s="384"/>
      <c r="D153" s="373"/>
      <c r="E153" s="374"/>
      <c r="F153" s="372"/>
      <c r="G153" s="482" t="s">
        <v>314</v>
      </c>
      <c r="H153" s="483"/>
      <c r="I153" s="375">
        <f>SUM(I150:I152)</f>
        <v>92.269499999999994</v>
      </c>
      <c r="J153" s="376" t="s">
        <v>812</v>
      </c>
    </row>
    <row r="154" spans="1:10" ht="16.5" x14ac:dyDescent="0.3">
      <c r="A154" s="371"/>
      <c r="B154" s="379"/>
      <c r="C154" s="385"/>
      <c r="D154" s="378"/>
      <c r="E154" s="386"/>
      <c r="F154" s="379"/>
      <c r="G154" s="386"/>
      <c r="H154" s="386"/>
      <c r="I154" s="387"/>
      <c r="J154" s="388"/>
    </row>
    <row r="155" spans="1:10" ht="18.75" thickBot="1" x14ac:dyDescent="0.35">
      <c r="A155" s="371">
        <v>10</v>
      </c>
      <c r="B155" s="366" t="s">
        <v>401</v>
      </c>
      <c r="C155" s="364">
        <f>5.4+5.21</f>
        <v>10.61</v>
      </c>
      <c r="D155" s="359">
        <v>1.2</v>
      </c>
      <c r="E155" s="360"/>
      <c r="F155" s="360"/>
      <c r="G155" s="360"/>
      <c r="H155" s="369">
        <v>1</v>
      </c>
      <c r="I155" s="398">
        <f>C155*D155*H155</f>
        <v>12.731999999999999</v>
      </c>
      <c r="J155" s="370" t="s">
        <v>281</v>
      </c>
    </row>
    <row r="156" spans="1:10" ht="19.5" thickTop="1" thickBot="1" x14ac:dyDescent="0.35">
      <c r="A156" s="365"/>
      <c r="B156" s="372"/>
      <c r="C156" s="384"/>
      <c r="D156" s="373"/>
      <c r="E156" s="374"/>
      <c r="F156" s="372"/>
      <c r="G156" s="482" t="s">
        <v>314</v>
      </c>
      <c r="H156" s="483"/>
      <c r="I156" s="375">
        <f>SUM(I155)</f>
        <v>12.731999999999999</v>
      </c>
      <c r="J156" s="376" t="s">
        <v>812</v>
      </c>
    </row>
    <row r="157" spans="1:10" ht="16.5" x14ac:dyDescent="0.3">
      <c r="A157" s="365"/>
      <c r="B157" s="379"/>
      <c r="C157" s="385"/>
      <c r="D157" s="378"/>
      <c r="E157" s="386"/>
      <c r="F157" s="379"/>
      <c r="G157" s="386"/>
      <c r="H157" s="386"/>
      <c r="I157" s="387"/>
      <c r="J157" s="388"/>
    </row>
    <row r="158" spans="1:10" ht="18.75" thickBot="1" x14ac:dyDescent="0.35">
      <c r="A158" s="365">
        <v>11</v>
      </c>
      <c r="B158" s="366" t="s">
        <v>402</v>
      </c>
      <c r="C158" s="364">
        <v>3.6</v>
      </c>
      <c r="D158" s="359">
        <v>1.2</v>
      </c>
      <c r="E158" s="360"/>
      <c r="F158" s="360"/>
      <c r="G158" s="360"/>
      <c r="H158" s="369">
        <v>1</v>
      </c>
      <c r="I158" s="398">
        <f>C158*D158*H158</f>
        <v>4.32</v>
      </c>
      <c r="J158" s="370" t="s">
        <v>281</v>
      </c>
    </row>
    <row r="159" spans="1:10" ht="19.5" thickTop="1" thickBot="1" x14ac:dyDescent="0.35">
      <c r="A159" s="365"/>
      <c r="B159" s="419"/>
      <c r="C159" s="420"/>
      <c r="D159" s="421"/>
      <c r="E159" s="422"/>
      <c r="F159" s="419"/>
      <c r="G159" s="478" t="s">
        <v>314</v>
      </c>
      <c r="H159" s="479"/>
      <c r="I159" s="423">
        <f>SUM(I158)</f>
        <v>4.32</v>
      </c>
      <c r="J159" s="424" t="s">
        <v>812</v>
      </c>
    </row>
    <row r="160" spans="1:10" ht="16.5" x14ac:dyDescent="0.3">
      <c r="A160" s="365"/>
      <c r="B160" s="360"/>
      <c r="C160" s="364"/>
      <c r="D160" s="359"/>
      <c r="E160" s="398"/>
      <c r="F160" s="360"/>
      <c r="G160" s="398"/>
      <c r="H160" s="398"/>
      <c r="I160" s="425"/>
      <c r="J160" s="426"/>
    </row>
    <row r="161" spans="1:10" ht="18.75" thickBot="1" x14ac:dyDescent="0.35">
      <c r="A161" s="365">
        <v>12</v>
      </c>
      <c r="B161" s="366" t="s">
        <v>403</v>
      </c>
      <c r="C161" s="364">
        <v>3.8</v>
      </c>
      <c r="D161" s="359">
        <v>1.34</v>
      </c>
      <c r="E161" s="360"/>
      <c r="F161" s="360"/>
      <c r="G161" s="360"/>
      <c r="H161" s="369">
        <v>1</v>
      </c>
      <c r="I161" s="398">
        <f>C161*D161*H161</f>
        <v>5.0919999999999996</v>
      </c>
      <c r="J161" s="370" t="s">
        <v>281</v>
      </c>
    </row>
    <row r="162" spans="1:10" ht="19.5" thickTop="1" thickBot="1" x14ac:dyDescent="0.35">
      <c r="A162" s="365"/>
      <c r="B162" s="372"/>
      <c r="C162" s="384"/>
      <c r="D162" s="373"/>
      <c r="E162" s="374"/>
      <c r="F162" s="372"/>
      <c r="G162" s="482" t="s">
        <v>314</v>
      </c>
      <c r="H162" s="483"/>
      <c r="I162" s="375">
        <f>SUM(I161)</f>
        <v>5.0919999999999996</v>
      </c>
      <c r="J162" s="376" t="s">
        <v>812</v>
      </c>
    </row>
    <row r="163" spans="1:10" ht="16.5" x14ac:dyDescent="0.3">
      <c r="A163" s="365"/>
      <c r="B163" s="379"/>
      <c r="C163" s="385"/>
      <c r="D163" s="378"/>
      <c r="E163" s="386"/>
      <c r="F163" s="379"/>
      <c r="G163" s="386"/>
      <c r="H163" s="386"/>
      <c r="I163" s="387"/>
      <c r="J163" s="388"/>
    </row>
    <row r="164" spans="1:10" ht="18.75" thickBot="1" x14ac:dyDescent="0.35">
      <c r="A164" s="365">
        <v>13</v>
      </c>
      <c r="B164" s="366" t="s">
        <v>414</v>
      </c>
      <c r="C164" s="364">
        <v>3.15</v>
      </c>
      <c r="D164" s="359"/>
      <c r="E164" s="360">
        <v>2.48</v>
      </c>
      <c r="F164" s="360"/>
      <c r="G164" s="360"/>
      <c r="H164" s="369">
        <v>1</v>
      </c>
      <c r="I164" s="398">
        <f>C164*E164*H164</f>
        <v>7.8119999999999994</v>
      </c>
      <c r="J164" s="370" t="s">
        <v>281</v>
      </c>
    </row>
    <row r="165" spans="1:10" ht="19.5" thickTop="1" thickBot="1" x14ac:dyDescent="0.35">
      <c r="A165" s="365"/>
      <c r="B165" s="419"/>
      <c r="C165" s="420"/>
      <c r="D165" s="421"/>
      <c r="E165" s="422"/>
      <c r="F165" s="419"/>
      <c r="G165" s="478" t="s">
        <v>314</v>
      </c>
      <c r="H165" s="479"/>
      <c r="I165" s="423">
        <f>SUM(I164)</f>
        <v>7.8119999999999994</v>
      </c>
      <c r="J165" s="424" t="s">
        <v>812</v>
      </c>
    </row>
    <row r="166" spans="1:10" ht="16.5" x14ac:dyDescent="0.3">
      <c r="A166" s="365"/>
      <c r="B166" s="360"/>
      <c r="C166" s="364"/>
      <c r="D166" s="359"/>
      <c r="E166" s="398"/>
      <c r="F166" s="360"/>
      <c r="G166" s="398"/>
      <c r="H166" s="398"/>
      <c r="I166" s="425"/>
      <c r="J166" s="426"/>
    </row>
    <row r="167" spans="1:10" ht="18.75" thickBot="1" x14ac:dyDescent="0.35">
      <c r="A167" s="365">
        <v>14</v>
      </c>
      <c r="B167" s="366" t="s">
        <v>421</v>
      </c>
      <c r="C167" s="364">
        <v>10.35</v>
      </c>
      <c r="D167" s="359">
        <v>9.85</v>
      </c>
      <c r="E167" s="360"/>
      <c r="F167" s="360"/>
      <c r="G167" s="360"/>
      <c r="H167" s="369">
        <v>1</v>
      </c>
      <c r="I167" s="398">
        <f>C167*D167*H167</f>
        <v>101.94749999999999</v>
      </c>
      <c r="J167" s="370" t="s">
        <v>281</v>
      </c>
    </row>
    <row r="168" spans="1:10" ht="19.5" thickTop="1" thickBot="1" x14ac:dyDescent="0.35">
      <c r="A168" s="365"/>
      <c r="B168" s="372"/>
      <c r="C168" s="384"/>
      <c r="D168" s="373"/>
      <c r="E168" s="374"/>
      <c r="F168" s="372"/>
      <c r="G168" s="482" t="s">
        <v>314</v>
      </c>
      <c r="H168" s="483"/>
      <c r="I168" s="375">
        <f>SUM(I167)</f>
        <v>101.94749999999999</v>
      </c>
      <c r="J168" s="376" t="s">
        <v>812</v>
      </c>
    </row>
    <row r="169" spans="1:10" ht="16.5" x14ac:dyDescent="0.3">
      <c r="A169" s="365"/>
      <c r="B169" s="379"/>
      <c r="C169" s="385"/>
      <c r="D169" s="378"/>
      <c r="E169" s="386"/>
      <c r="F169" s="379"/>
      <c r="G169" s="386"/>
      <c r="H169" s="386"/>
      <c r="I169" s="387"/>
      <c r="J169" s="388"/>
    </row>
    <row r="170" spans="1:10" ht="18.75" thickBot="1" x14ac:dyDescent="0.35">
      <c r="A170" s="365">
        <v>15</v>
      </c>
      <c r="B170" s="366" t="s">
        <v>666</v>
      </c>
      <c r="C170" s="364">
        <f>10.35+(2.4*4)+(1*4)</f>
        <v>23.95</v>
      </c>
      <c r="D170" s="359"/>
      <c r="E170" s="360"/>
      <c r="F170" s="360"/>
      <c r="G170" s="360"/>
      <c r="H170" s="369">
        <v>4</v>
      </c>
      <c r="I170" s="398">
        <f>C170*H170</f>
        <v>95.8</v>
      </c>
      <c r="J170" s="370" t="s">
        <v>281</v>
      </c>
    </row>
    <row r="171" spans="1:10" ht="19.5" thickTop="1" thickBot="1" x14ac:dyDescent="0.35">
      <c r="A171" s="365"/>
      <c r="B171" s="372"/>
      <c r="C171" s="384"/>
      <c r="D171" s="373"/>
      <c r="E171" s="374"/>
      <c r="F171" s="372"/>
      <c r="G171" s="482" t="s">
        <v>314</v>
      </c>
      <c r="H171" s="483"/>
      <c r="I171" s="375">
        <f>SUM(I170)</f>
        <v>95.8</v>
      </c>
      <c r="J171" s="376" t="s">
        <v>812</v>
      </c>
    </row>
    <row r="172" spans="1:10" ht="16.5" x14ac:dyDescent="0.3">
      <c r="A172" s="365"/>
      <c r="B172" s="379"/>
      <c r="C172" s="385"/>
      <c r="D172" s="378"/>
      <c r="E172" s="386"/>
      <c r="F172" s="379"/>
      <c r="G172" s="386"/>
      <c r="H172" s="386"/>
      <c r="I172" s="387"/>
      <c r="J172" s="388"/>
    </row>
    <row r="173" spans="1:10" ht="18.75" thickBot="1" x14ac:dyDescent="0.35">
      <c r="A173" s="365">
        <v>16</v>
      </c>
      <c r="B173" s="427" t="s">
        <v>668</v>
      </c>
      <c r="C173" s="364">
        <f>10.35+(1*8)</f>
        <v>18.350000000000001</v>
      </c>
      <c r="D173" s="359"/>
      <c r="E173" s="360"/>
      <c r="F173" s="360"/>
      <c r="G173" s="360"/>
      <c r="H173" s="369">
        <v>4</v>
      </c>
      <c r="I173" s="398">
        <f>C173*H173</f>
        <v>73.400000000000006</v>
      </c>
      <c r="J173" s="370" t="s">
        <v>281</v>
      </c>
    </row>
    <row r="174" spans="1:10" ht="19.5" thickTop="1" thickBot="1" x14ac:dyDescent="0.35">
      <c r="A174" s="428"/>
      <c r="B174" s="429"/>
      <c r="C174" s="430"/>
      <c r="D174" s="431"/>
      <c r="E174" s="432"/>
      <c r="F174" s="429"/>
      <c r="G174" s="491" t="s">
        <v>314</v>
      </c>
      <c r="H174" s="492"/>
      <c r="I174" s="433">
        <f>SUM(I173)</f>
        <v>73.400000000000006</v>
      </c>
      <c r="J174" s="434" t="s">
        <v>812</v>
      </c>
    </row>
    <row r="175" spans="1:10" ht="16.5" x14ac:dyDescent="0.3">
      <c r="A175" s="435" t="s">
        <v>341</v>
      </c>
      <c r="B175" s="436" t="s">
        <v>630</v>
      </c>
      <c r="C175" s="437"/>
      <c r="D175" s="354"/>
      <c r="E175" s="438"/>
      <c r="F175" s="355"/>
      <c r="G175" s="438"/>
      <c r="H175" s="438"/>
      <c r="I175" s="439"/>
      <c r="J175" s="440"/>
    </row>
    <row r="176" spans="1:10" ht="18" x14ac:dyDescent="0.3">
      <c r="A176" s="371">
        <v>1</v>
      </c>
      <c r="B176" s="366" t="s">
        <v>631</v>
      </c>
      <c r="C176" s="364">
        <v>0.6</v>
      </c>
      <c r="D176" s="359"/>
      <c r="E176" s="398"/>
      <c r="F176" s="360"/>
      <c r="G176" s="398"/>
      <c r="H176" s="369">
        <v>64</v>
      </c>
      <c r="I176" s="398">
        <f>C176*H176</f>
        <v>38.4</v>
      </c>
      <c r="J176" s="370" t="s">
        <v>424</v>
      </c>
    </row>
    <row r="177" spans="1:10" ht="18.75" thickBot="1" x14ac:dyDescent="0.35">
      <c r="A177" s="441"/>
      <c r="B177" s="366"/>
      <c r="C177" s="368">
        <v>1.02</v>
      </c>
      <c r="D177" s="368"/>
      <c r="E177" s="369"/>
      <c r="F177" s="366"/>
      <c r="G177" s="369"/>
      <c r="H177" s="369">
        <v>14</v>
      </c>
      <c r="I177" s="398">
        <f>C177*H177</f>
        <v>14.280000000000001</v>
      </c>
      <c r="J177" s="370" t="s">
        <v>424</v>
      </c>
    </row>
    <row r="178" spans="1:10" ht="19.5" thickTop="1" thickBot="1" x14ac:dyDescent="0.35">
      <c r="A178" s="442"/>
      <c r="B178" s="443"/>
      <c r="C178" s="444"/>
      <c r="D178" s="445"/>
      <c r="E178" s="446"/>
      <c r="F178" s="447"/>
      <c r="G178" s="478" t="s">
        <v>314</v>
      </c>
      <c r="H178" s="479"/>
      <c r="I178" s="423">
        <f>SUM(I176:I177)</f>
        <v>52.68</v>
      </c>
      <c r="J178" s="424" t="s">
        <v>813</v>
      </c>
    </row>
    <row r="179" spans="1:10" ht="16.5" x14ac:dyDescent="0.3">
      <c r="A179" s="441"/>
      <c r="B179" s="360"/>
      <c r="C179" s="364"/>
      <c r="D179" s="359"/>
      <c r="E179" s="398"/>
      <c r="F179" s="360"/>
      <c r="G179" s="398"/>
      <c r="H179" s="398"/>
      <c r="I179" s="425"/>
      <c r="J179" s="448"/>
    </row>
    <row r="180" spans="1:10" ht="18.75" thickBot="1" x14ac:dyDescent="0.35">
      <c r="A180" s="371">
        <v>2</v>
      </c>
      <c r="B180" s="366" t="s">
        <v>633</v>
      </c>
      <c r="C180" s="364">
        <f>(2.71*2)+(3.52*2)+(4.2*2)</f>
        <v>20.86</v>
      </c>
      <c r="D180" s="359"/>
      <c r="E180" s="398"/>
      <c r="F180" s="360"/>
      <c r="G180" s="398"/>
      <c r="H180" s="369">
        <v>1</v>
      </c>
      <c r="I180" s="398">
        <f>C180*H180</f>
        <v>20.86</v>
      </c>
      <c r="J180" s="370" t="s">
        <v>424</v>
      </c>
    </row>
    <row r="181" spans="1:10" ht="19.5" thickTop="1" thickBot="1" x14ac:dyDescent="0.35">
      <c r="A181" s="442"/>
      <c r="B181" s="443"/>
      <c r="C181" s="444"/>
      <c r="D181" s="445"/>
      <c r="E181" s="446"/>
      <c r="F181" s="447"/>
      <c r="G181" s="478" t="s">
        <v>314</v>
      </c>
      <c r="H181" s="479"/>
      <c r="I181" s="423">
        <f>SUM(I180:I180)</f>
        <v>20.86</v>
      </c>
      <c r="J181" s="424" t="s">
        <v>813</v>
      </c>
    </row>
    <row r="182" spans="1:10" ht="16.5" x14ac:dyDescent="0.3">
      <c r="A182" s="441"/>
      <c r="B182" s="360"/>
      <c r="C182" s="364"/>
      <c r="D182" s="359"/>
      <c r="E182" s="398"/>
      <c r="F182" s="360"/>
      <c r="G182" s="398"/>
      <c r="H182" s="398"/>
      <c r="I182" s="425"/>
      <c r="J182" s="448"/>
    </row>
    <row r="183" spans="1:10" ht="18" x14ac:dyDescent="0.3">
      <c r="A183" s="371">
        <v>3</v>
      </c>
      <c r="B183" s="366" t="s">
        <v>634</v>
      </c>
      <c r="C183" s="364">
        <f>(2.71*2)+(3.52*2)+(4.2*2)</f>
        <v>20.86</v>
      </c>
      <c r="D183" s="359"/>
      <c r="E183" s="398"/>
      <c r="F183" s="360"/>
      <c r="G183" s="398"/>
      <c r="H183" s="369">
        <v>1</v>
      </c>
      <c r="I183" s="398">
        <f>C183*H183</f>
        <v>20.86</v>
      </c>
      <c r="J183" s="370" t="s">
        <v>424</v>
      </c>
    </row>
    <row r="184" spans="1:10" ht="18.75" thickBot="1" x14ac:dyDescent="0.35">
      <c r="A184" s="441"/>
      <c r="B184" s="366"/>
      <c r="C184" s="368">
        <v>1.2</v>
      </c>
      <c r="D184" s="368"/>
      <c r="E184" s="369"/>
      <c r="F184" s="366"/>
      <c r="G184" s="369"/>
      <c r="H184" s="369">
        <v>16</v>
      </c>
      <c r="I184" s="398">
        <f>C184*H184</f>
        <v>19.2</v>
      </c>
      <c r="J184" s="370" t="s">
        <v>424</v>
      </c>
    </row>
    <row r="185" spans="1:10" ht="19.5" thickTop="1" thickBot="1" x14ac:dyDescent="0.35">
      <c r="A185" s="442"/>
      <c r="B185" s="443"/>
      <c r="C185" s="444"/>
      <c r="D185" s="445"/>
      <c r="E185" s="446"/>
      <c r="F185" s="447"/>
      <c r="G185" s="478" t="s">
        <v>314</v>
      </c>
      <c r="H185" s="479"/>
      <c r="I185" s="423">
        <f>SUM(I183:I184)</f>
        <v>40.06</v>
      </c>
      <c r="J185" s="424" t="s">
        <v>813</v>
      </c>
    </row>
    <row r="186" spans="1:10" ht="16.5" x14ac:dyDescent="0.3">
      <c r="A186" s="435" t="s">
        <v>629</v>
      </c>
      <c r="B186" s="436" t="s">
        <v>435</v>
      </c>
      <c r="C186" s="437"/>
      <c r="D186" s="354"/>
      <c r="E186" s="438"/>
      <c r="F186" s="355"/>
      <c r="G186" s="438"/>
      <c r="H186" s="438"/>
      <c r="I186" s="439"/>
      <c r="J186" s="440"/>
    </row>
    <row r="187" spans="1:10" ht="18.75" thickBot="1" x14ac:dyDescent="0.35">
      <c r="A187" s="371">
        <v>1</v>
      </c>
      <c r="B187" s="366" t="s">
        <v>439</v>
      </c>
      <c r="C187" s="364">
        <v>0.9</v>
      </c>
      <c r="D187" s="359">
        <v>0.15</v>
      </c>
      <c r="E187" s="398">
        <v>2</v>
      </c>
      <c r="F187" s="360"/>
      <c r="G187" s="398"/>
      <c r="H187" s="369">
        <v>1</v>
      </c>
      <c r="I187" s="398">
        <f>C187*D187*E187*H187</f>
        <v>0.27</v>
      </c>
      <c r="J187" s="370" t="s">
        <v>281</v>
      </c>
    </row>
    <row r="188" spans="1:10" ht="19.5" thickTop="1" thickBot="1" x14ac:dyDescent="0.35">
      <c r="A188" s="442"/>
      <c r="B188" s="443"/>
      <c r="C188" s="444"/>
      <c r="D188" s="445"/>
      <c r="E188" s="446"/>
      <c r="F188" s="447"/>
      <c r="G188" s="478" t="s">
        <v>314</v>
      </c>
      <c r="H188" s="479"/>
      <c r="I188" s="423">
        <f>SUM(I187)</f>
        <v>0.27</v>
      </c>
      <c r="J188" s="424" t="s">
        <v>811</v>
      </c>
    </row>
    <row r="189" spans="1:10" ht="16.5" x14ac:dyDescent="0.3">
      <c r="A189" s="365"/>
      <c r="B189" s="379"/>
      <c r="C189" s="385"/>
      <c r="D189" s="378"/>
      <c r="E189" s="386"/>
      <c r="F189" s="379"/>
      <c r="G189" s="386"/>
      <c r="H189" s="386"/>
      <c r="I189" s="387"/>
      <c r="J189" s="388"/>
    </row>
    <row r="190" spans="1:10" ht="18.75" thickBot="1" x14ac:dyDescent="0.35">
      <c r="A190" s="365">
        <v>2</v>
      </c>
      <c r="B190" s="366" t="s">
        <v>447</v>
      </c>
      <c r="C190" s="364">
        <f>2+2+0.9</f>
        <v>4.9000000000000004</v>
      </c>
      <c r="D190" s="359">
        <v>0.15</v>
      </c>
      <c r="E190" s="360"/>
      <c r="F190" s="360"/>
      <c r="G190" s="360"/>
      <c r="H190" s="369">
        <v>1</v>
      </c>
      <c r="I190" s="398">
        <f>C190*D190*H190</f>
        <v>0.73499999999999999</v>
      </c>
      <c r="J190" s="370" t="s">
        <v>256</v>
      </c>
    </row>
    <row r="191" spans="1:10" ht="19.5" thickTop="1" thickBot="1" x14ac:dyDescent="0.35">
      <c r="A191" s="365"/>
      <c r="B191" s="419"/>
      <c r="C191" s="420"/>
      <c r="D191" s="421"/>
      <c r="E191" s="422"/>
      <c r="F191" s="419"/>
      <c r="G191" s="478" t="s">
        <v>314</v>
      </c>
      <c r="H191" s="479"/>
      <c r="I191" s="423">
        <f>SUM(I190)</f>
        <v>0.73499999999999999</v>
      </c>
      <c r="J191" s="424" t="s">
        <v>812</v>
      </c>
    </row>
    <row r="192" spans="1:10" ht="16.5" x14ac:dyDescent="0.3">
      <c r="A192" s="442"/>
      <c r="B192" s="363"/>
      <c r="C192" s="364"/>
      <c r="D192" s="359"/>
      <c r="E192" s="398"/>
      <c r="F192" s="360"/>
      <c r="G192" s="398"/>
      <c r="H192" s="398"/>
      <c r="I192" s="425"/>
      <c r="J192" s="448"/>
    </row>
    <row r="193" spans="1:10" ht="18.75" thickBot="1" x14ac:dyDescent="0.35">
      <c r="A193" s="371">
        <v>3</v>
      </c>
      <c r="B193" s="366" t="s">
        <v>436</v>
      </c>
      <c r="C193" s="364">
        <f>5.25+(3*4)+3.5</f>
        <v>20.75</v>
      </c>
      <c r="D193" s="359">
        <v>0.7</v>
      </c>
      <c r="E193" s="360">
        <v>0.95</v>
      </c>
      <c r="F193" s="360"/>
      <c r="G193" s="360"/>
      <c r="H193" s="369">
        <v>1</v>
      </c>
      <c r="I193" s="398">
        <f>C193*D193*E193*H193</f>
        <v>13.798749999999998</v>
      </c>
      <c r="J193" s="370" t="s">
        <v>281</v>
      </c>
    </row>
    <row r="194" spans="1:10" ht="19.5" thickTop="1" thickBot="1" x14ac:dyDescent="0.35">
      <c r="A194" s="371"/>
      <c r="B194" s="372"/>
      <c r="C194" s="384"/>
      <c r="D194" s="373"/>
      <c r="E194" s="374"/>
      <c r="F194" s="372"/>
      <c r="G194" s="482" t="s">
        <v>314</v>
      </c>
      <c r="H194" s="483"/>
      <c r="I194" s="375">
        <f>SUM(I193)</f>
        <v>13.798749999999998</v>
      </c>
      <c r="J194" s="376" t="s">
        <v>811</v>
      </c>
    </row>
    <row r="195" spans="1:10" ht="16.5" x14ac:dyDescent="0.3">
      <c r="A195" s="442"/>
      <c r="B195" s="377"/>
      <c r="C195" s="385"/>
      <c r="D195" s="378"/>
      <c r="E195" s="386"/>
      <c r="F195" s="379"/>
      <c r="G195" s="386"/>
      <c r="H195" s="386"/>
      <c r="I195" s="387"/>
      <c r="J195" s="449"/>
    </row>
    <row r="196" spans="1:10" ht="18.75" thickBot="1" x14ac:dyDescent="0.35">
      <c r="A196" s="371">
        <v>4</v>
      </c>
      <c r="B196" s="366" t="s">
        <v>450</v>
      </c>
      <c r="C196" s="364">
        <f>5.25+(3*4)+3.5</f>
        <v>20.75</v>
      </c>
      <c r="D196" s="359">
        <f>D193</f>
        <v>0.7</v>
      </c>
      <c r="E196" s="360">
        <v>0.05</v>
      </c>
      <c r="F196" s="360"/>
      <c r="G196" s="360"/>
      <c r="H196" s="369">
        <v>1</v>
      </c>
      <c r="I196" s="398">
        <f>C196*D196*E196*H196</f>
        <v>0.72624999999999995</v>
      </c>
      <c r="J196" s="370" t="s">
        <v>281</v>
      </c>
    </row>
    <row r="197" spans="1:10" ht="19.5" thickTop="1" thickBot="1" x14ac:dyDescent="0.35">
      <c r="A197" s="371"/>
      <c r="B197" s="419"/>
      <c r="C197" s="420"/>
      <c r="D197" s="421"/>
      <c r="E197" s="422"/>
      <c r="F197" s="419"/>
      <c r="G197" s="478" t="s">
        <v>314</v>
      </c>
      <c r="H197" s="479"/>
      <c r="I197" s="423">
        <f>SUM(I196)</f>
        <v>0.72624999999999995</v>
      </c>
      <c r="J197" s="424" t="s">
        <v>811</v>
      </c>
    </row>
    <row r="198" spans="1:10" ht="16.5" x14ac:dyDescent="0.3">
      <c r="A198" s="442"/>
      <c r="B198" s="377"/>
      <c r="C198" s="385"/>
      <c r="D198" s="378"/>
      <c r="E198" s="386"/>
      <c r="F198" s="379"/>
      <c r="G198" s="386"/>
      <c r="H198" s="386"/>
      <c r="I198" s="387"/>
      <c r="J198" s="449"/>
    </row>
    <row r="199" spans="1:10" ht="18.75" thickBot="1" x14ac:dyDescent="0.35">
      <c r="A199" s="371">
        <v>5</v>
      </c>
      <c r="B199" s="366" t="s">
        <v>459</v>
      </c>
      <c r="C199" s="364">
        <f>5.25+(3*4)+3.5</f>
        <v>20.75</v>
      </c>
      <c r="D199" s="359">
        <f>(0.3+0.6)/2</f>
        <v>0.44999999999999996</v>
      </c>
      <c r="E199" s="360">
        <v>0.6</v>
      </c>
      <c r="F199" s="360"/>
      <c r="G199" s="360"/>
      <c r="H199" s="369">
        <v>1</v>
      </c>
      <c r="I199" s="398">
        <f>C199*D199*E199*H199</f>
        <v>5.6024999999999991</v>
      </c>
      <c r="J199" s="370" t="s">
        <v>281</v>
      </c>
    </row>
    <row r="200" spans="1:10" ht="19.5" thickTop="1" thickBot="1" x14ac:dyDescent="0.35">
      <c r="A200" s="371"/>
      <c r="B200" s="419"/>
      <c r="C200" s="420"/>
      <c r="D200" s="421"/>
      <c r="E200" s="422"/>
      <c r="F200" s="419"/>
      <c r="G200" s="478" t="s">
        <v>314</v>
      </c>
      <c r="H200" s="479"/>
      <c r="I200" s="423">
        <f>SUM(I199)</f>
        <v>5.6024999999999991</v>
      </c>
      <c r="J200" s="424" t="s">
        <v>811</v>
      </c>
    </row>
    <row r="201" spans="1:10" ht="16.5" x14ac:dyDescent="0.3">
      <c r="A201" s="442"/>
      <c r="B201" s="377"/>
      <c r="C201" s="385"/>
      <c r="D201" s="378"/>
      <c r="E201" s="386"/>
      <c r="F201" s="379"/>
      <c r="G201" s="386"/>
      <c r="H201" s="386"/>
      <c r="I201" s="387"/>
      <c r="J201" s="449"/>
    </row>
    <row r="202" spans="1:10" ht="18.75" thickBot="1" x14ac:dyDescent="0.35">
      <c r="A202" s="371">
        <v>6</v>
      </c>
      <c r="B202" s="366" t="s">
        <v>461</v>
      </c>
      <c r="C202" s="364">
        <f>5.25+(3*4)+3.5</f>
        <v>20.75</v>
      </c>
      <c r="D202" s="359">
        <f>0.25+0.25</f>
        <v>0.5</v>
      </c>
      <c r="E202" s="360"/>
      <c r="F202" s="360"/>
      <c r="G202" s="360"/>
      <c r="H202" s="369">
        <v>1</v>
      </c>
      <c r="I202" s="398">
        <f>C202*D202*H202</f>
        <v>10.375</v>
      </c>
      <c r="J202" s="370" t="s">
        <v>256</v>
      </c>
    </row>
    <row r="203" spans="1:10" ht="19.5" thickTop="1" thickBot="1" x14ac:dyDescent="0.35">
      <c r="A203" s="371"/>
      <c r="B203" s="419"/>
      <c r="C203" s="420"/>
      <c r="D203" s="421"/>
      <c r="E203" s="422"/>
      <c r="F203" s="419"/>
      <c r="G203" s="478" t="s">
        <v>314</v>
      </c>
      <c r="H203" s="479"/>
      <c r="I203" s="423">
        <f>SUM(I202)</f>
        <v>10.375</v>
      </c>
      <c r="J203" s="424" t="s">
        <v>812</v>
      </c>
    </row>
    <row r="204" spans="1:10" ht="16.5" x14ac:dyDescent="0.3">
      <c r="A204" s="442"/>
      <c r="B204" s="377"/>
      <c r="C204" s="385"/>
      <c r="D204" s="378"/>
      <c r="E204" s="386"/>
      <c r="F204" s="379"/>
      <c r="G204" s="386"/>
      <c r="H204" s="386"/>
      <c r="I204" s="387"/>
      <c r="J204" s="449"/>
    </row>
    <row r="205" spans="1:10" ht="18.75" thickBot="1" x14ac:dyDescent="0.35">
      <c r="A205" s="371">
        <v>7</v>
      </c>
      <c r="B205" s="366" t="s">
        <v>464</v>
      </c>
      <c r="C205" s="364">
        <f>5.25+(3*4)+3.5</f>
        <v>20.75</v>
      </c>
      <c r="D205" s="359">
        <v>0.2</v>
      </c>
      <c r="E205" s="360">
        <v>0.25</v>
      </c>
      <c r="F205" s="360"/>
      <c r="G205" s="360"/>
      <c r="H205" s="369">
        <v>1</v>
      </c>
      <c r="I205" s="398">
        <f>C205*D205*E205*H205</f>
        <v>1.0375000000000001</v>
      </c>
      <c r="J205" s="370" t="s">
        <v>281</v>
      </c>
    </row>
    <row r="206" spans="1:10" ht="19.5" thickTop="1" thickBot="1" x14ac:dyDescent="0.35">
      <c r="A206" s="371"/>
      <c r="B206" s="419"/>
      <c r="C206" s="420"/>
      <c r="D206" s="421"/>
      <c r="E206" s="422"/>
      <c r="F206" s="419"/>
      <c r="G206" s="478" t="s">
        <v>314</v>
      </c>
      <c r="H206" s="479"/>
      <c r="I206" s="423">
        <f>SUM(I205)</f>
        <v>1.0375000000000001</v>
      </c>
      <c r="J206" s="424" t="s">
        <v>811</v>
      </c>
    </row>
    <row r="207" spans="1:10" ht="16.5" x14ac:dyDescent="0.3">
      <c r="A207" s="442"/>
      <c r="B207" s="377"/>
      <c r="C207" s="385"/>
      <c r="D207" s="378"/>
      <c r="E207" s="386"/>
      <c r="F207" s="379"/>
      <c r="G207" s="386"/>
      <c r="H207" s="386"/>
      <c r="I207" s="387"/>
      <c r="J207" s="449"/>
    </row>
    <row r="208" spans="1:10" ht="18.75" thickBot="1" x14ac:dyDescent="0.35">
      <c r="A208" s="371">
        <v>8</v>
      </c>
      <c r="B208" s="366" t="s">
        <v>470</v>
      </c>
      <c r="C208" s="364"/>
      <c r="D208" s="359">
        <f>0.1+0.1</f>
        <v>0.2</v>
      </c>
      <c r="E208" s="360">
        <v>3.13</v>
      </c>
      <c r="F208" s="360"/>
      <c r="G208" s="360"/>
      <c r="H208" s="369">
        <v>7</v>
      </c>
      <c r="I208" s="398">
        <f>D208*E208*H208</f>
        <v>4.3819999999999997</v>
      </c>
      <c r="J208" s="370" t="s">
        <v>281</v>
      </c>
    </row>
    <row r="209" spans="1:10" ht="19.5" thickTop="1" thickBot="1" x14ac:dyDescent="0.35">
      <c r="A209" s="371"/>
      <c r="B209" s="419"/>
      <c r="C209" s="420"/>
      <c r="D209" s="421"/>
      <c r="E209" s="422"/>
      <c r="F209" s="419"/>
      <c r="G209" s="478" t="s">
        <v>314</v>
      </c>
      <c r="H209" s="479"/>
      <c r="I209" s="423">
        <f>SUM(I208)</f>
        <v>4.3819999999999997</v>
      </c>
      <c r="J209" s="424" t="s">
        <v>812</v>
      </c>
    </row>
    <row r="210" spans="1:10" ht="16.5" x14ac:dyDescent="0.3">
      <c r="A210" s="442"/>
      <c r="B210" s="377"/>
      <c r="C210" s="385"/>
      <c r="D210" s="378"/>
      <c r="E210" s="386"/>
      <c r="F210" s="379"/>
      <c r="G210" s="386"/>
      <c r="H210" s="386"/>
      <c r="I210" s="387"/>
      <c r="J210" s="449"/>
    </row>
    <row r="211" spans="1:10" ht="18.75" thickBot="1" x14ac:dyDescent="0.35">
      <c r="A211" s="371">
        <v>9</v>
      </c>
      <c r="B211" s="366" t="s">
        <v>473</v>
      </c>
      <c r="C211" s="364">
        <v>0.1</v>
      </c>
      <c r="D211" s="359">
        <v>0.1</v>
      </c>
      <c r="E211" s="360">
        <v>3.13</v>
      </c>
      <c r="F211" s="360"/>
      <c r="G211" s="360"/>
      <c r="H211" s="369">
        <v>7</v>
      </c>
      <c r="I211" s="398">
        <f>C211*D211*E211*H211</f>
        <v>0.21910000000000007</v>
      </c>
      <c r="J211" s="370" t="s">
        <v>281</v>
      </c>
    </row>
    <row r="212" spans="1:10" ht="19.5" thickTop="1" thickBot="1" x14ac:dyDescent="0.35">
      <c r="A212" s="371"/>
      <c r="B212" s="419"/>
      <c r="C212" s="420"/>
      <c r="D212" s="421"/>
      <c r="E212" s="422"/>
      <c r="F212" s="419"/>
      <c r="G212" s="478" t="s">
        <v>314</v>
      </c>
      <c r="H212" s="479"/>
      <c r="I212" s="423">
        <f>SUM(I211)</f>
        <v>0.21910000000000007</v>
      </c>
      <c r="J212" s="424" t="s">
        <v>811</v>
      </c>
    </row>
    <row r="213" spans="1:10" ht="16.5" x14ac:dyDescent="0.3">
      <c r="A213" s="442"/>
      <c r="B213" s="377"/>
      <c r="C213" s="385"/>
      <c r="D213" s="378"/>
      <c r="E213" s="386"/>
      <c r="F213" s="379"/>
      <c r="G213" s="386"/>
      <c r="H213" s="386"/>
      <c r="I213" s="387"/>
      <c r="J213" s="449"/>
    </row>
    <row r="214" spans="1:10" ht="18.75" thickBot="1" x14ac:dyDescent="0.35">
      <c r="A214" s="371">
        <v>10</v>
      </c>
      <c r="B214" s="366" t="s">
        <v>476</v>
      </c>
      <c r="C214" s="364">
        <f>5.25+(3*4)+3.5</f>
        <v>20.75</v>
      </c>
      <c r="D214" s="359">
        <f>0.15+0.15</f>
        <v>0.3</v>
      </c>
      <c r="E214" s="360"/>
      <c r="F214" s="360"/>
      <c r="G214" s="360"/>
      <c r="H214" s="369">
        <v>1</v>
      </c>
      <c r="I214" s="398">
        <f>C214*D214*H214</f>
        <v>6.2249999999999996</v>
      </c>
      <c r="J214" s="370" t="s">
        <v>256</v>
      </c>
    </row>
    <row r="215" spans="1:10" ht="19.5" thickTop="1" thickBot="1" x14ac:dyDescent="0.35">
      <c r="A215" s="371"/>
      <c r="B215" s="419"/>
      <c r="C215" s="420"/>
      <c r="D215" s="421"/>
      <c r="E215" s="422"/>
      <c r="F215" s="419"/>
      <c r="G215" s="478" t="s">
        <v>314</v>
      </c>
      <c r="H215" s="479"/>
      <c r="I215" s="423">
        <f>SUM(I214)</f>
        <v>6.2249999999999996</v>
      </c>
      <c r="J215" s="424" t="s">
        <v>812</v>
      </c>
    </row>
    <row r="216" spans="1:10" ht="16.5" x14ac:dyDescent="0.3">
      <c r="A216" s="442"/>
      <c r="B216" s="377"/>
      <c r="C216" s="385"/>
      <c r="D216" s="378"/>
      <c r="E216" s="386"/>
      <c r="F216" s="379"/>
      <c r="G216" s="386"/>
      <c r="H216" s="386"/>
      <c r="I216" s="387"/>
      <c r="J216" s="449"/>
    </row>
    <row r="217" spans="1:10" ht="18.75" thickBot="1" x14ac:dyDescent="0.35">
      <c r="A217" s="371">
        <v>11</v>
      </c>
      <c r="B217" s="366" t="s">
        <v>481</v>
      </c>
      <c r="C217" s="364">
        <f>5.25+(3*4)+3.5</f>
        <v>20.75</v>
      </c>
      <c r="D217" s="359">
        <v>0.1</v>
      </c>
      <c r="E217" s="360">
        <v>0.15</v>
      </c>
      <c r="F217" s="360"/>
      <c r="G217" s="360"/>
      <c r="H217" s="369">
        <v>1</v>
      </c>
      <c r="I217" s="398">
        <f>C217*D217*E217*H217</f>
        <v>0.31125000000000003</v>
      </c>
      <c r="J217" s="370" t="s">
        <v>281</v>
      </c>
    </row>
    <row r="218" spans="1:10" ht="19.5" thickTop="1" thickBot="1" x14ac:dyDescent="0.35">
      <c r="A218" s="371"/>
      <c r="B218" s="419"/>
      <c r="C218" s="420"/>
      <c r="D218" s="421"/>
      <c r="E218" s="422"/>
      <c r="F218" s="419"/>
      <c r="G218" s="478" t="s">
        <v>314</v>
      </c>
      <c r="H218" s="479"/>
      <c r="I218" s="423">
        <f>SUM(I217)</f>
        <v>0.31125000000000003</v>
      </c>
      <c r="J218" s="424" t="s">
        <v>811</v>
      </c>
    </row>
    <row r="219" spans="1:10" ht="16.5" x14ac:dyDescent="0.3">
      <c r="A219" s="442"/>
      <c r="B219" s="377"/>
      <c r="C219" s="385"/>
      <c r="D219" s="378"/>
      <c r="E219" s="386"/>
      <c r="F219" s="379"/>
      <c r="G219" s="386"/>
      <c r="H219" s="386"/>
      <c r="I219" s="387"/>
      <c r="J219" s="449"/>
    </row>
    <row r="220" spans="1:10" ht="18" x14ac:dyDescent="0.3">
      <c r="A220" s="371">
        <v>12</v>
      </c>
      <c r="B220" s="366" t="s">
        <v>485</v>
      </c>
      <c r="C220" s="364">
        <f>5.25+(3*4)+3.5</f>
        <v>20.75</v>
      </c>
      <c r="D220" s="359"/>
      <c r="E220" s="360">
        <v>3.13</v>
      </c>
      <c r="F220" s="360"/>
      <c r="G220" s="450"/>
      <c r="H220" s="369">
        <v>1</v>
      </c>
      <c r="I220" s="369">
        <f>C220*E220*H220</f>
        <v>64.947499999999991</v>
      </c>
      <c r="J220" s="370" t="s">
        <v>256</v>
      </c>
    </row>
    <row r="221" spans="1:10" ht="18" x14ac:dyDescent="0.3">
      <c r="A221" s="371"/>
      <c r="B221" s="451" t="s">
        <v>486</v>
      </c>
      <c r="C221" s="367"/>
      <c r="D221" s="368">
        <v>0.7</v>
      </c>
      <c r="E221" s="366">
        <v>2</v>
      </c>
      <c r="F221" s="366"/>
      <c r="G221" s="452"/>
      <c r="H221" s="369">
        <v>-4</v>
      </c>
      <c r="I221" s="369">
        <f>D221*E221*H221</f>
        <v>-5.6</v>
      </c>
      <c r="J221" s="370" t="s">
        <v>256</v>
      </c>
    </row>
    <row r="222" spans="1:10" ht="18" x14ac:dyDescent="0.3">
      <c r="A222" s="371"/>
      <c r="B222" s="366"/>
      <c r="C222" s="367"/>
      <c r="D222" s="368">
        <v>1.32</v>
      </c>
      <c r="E222" s="366">
        <v>0.53</v>
      </c>
      <c r="F222" s="366"/>
      <c r="G222" s="452"/>
      <c r="H222" s="369">
        <v>-2</v>
      </c>
      <c r="I222" s="369">
        <f>D222*E222*H222</f>
        <v>-1.3992000000000002</v>
      </c>
      <c r="J222" s="370" t="s">
        <v>256</v>
      </c>
    </row>
    <row r="223" spans="1:10" ht="18.75" thickBot="1" x14ac:dyDescent="0.35">
      <c r="A223" s="371"/>
      <c r="B223" s="372"/>
      <c r="C223" s="367"/>
      <c r="D223" s="368">
        <v>0.68</v>
      </c>
      <c r="E223" s="366">
        <v>0.53</v>
      </c>
      <c r="F223" s="366"/>
      <c r="G223" s="452"/>
      <c r="H223" s="369">
        <v>-2</v>
      </c>
      <c r="I223" s="369">
        <f>D223*E223*H223</f>
        <v>-0.72080000000000011</v>
      </c>
      <c r="J223" s="370" t="s">
        <v>256</v>
      </c>
    </row>
    <row r="224" spans="1:10" ht="19.5" thickTop="1" thickBot="1" x14ac:dyDescent="0.35">
      <c r="A224" s="371"/>
      <c r="B224" s="419"/>
      <c r="C224" s="420"/>
      <c r="D224" s="421"/>
      <c r="E224" s="422"/>
      <c r="F224" s="419"/>
      <c r="G224" s="478" t="s">
        <v>314</v>
      </c>
      <c r="H224" s="479"/>
      <c r="I224" s="423">
        <f>SUM(I220:I223)</f>
        <v>57.227499999999992</v>
      </c>
      <c r="J224" s="424" t="s">
        <v>811</v>
      </c>
    </row>
    <row r="225" spans="1:10" ht="16.5" x14ac:dyDescent="0.3">
      <c r="A225" s="442"/>
      <c r="B225" s="377"/>
      <c r="C225" s="385"/>
      <c r="D225" s="378"/>
      <c r="E225" s="386"/>
      <c r="F225" s="379"/>
      <c r="G225" s="386"/>
      <c r="H225" s="386"/>
      <c r="I225" s="387"/>
      <c r="J225" s="449"/>
    </row>
    <row r="226" spans="1:10" ht="18" x14ac:dyDescent="0.3">
      <c r="A226" s="371">
        <v>13</v>
      </c>
      <c r="B226" s="366" t="s">
        <v>490</v>
      </c>
      <c r="C226" s="364">
        <v>5.2</v>
      </c>
      <c r="D226" s="359">
        <v>2.7</v>
      </c>
      <c r="E226" s="360">
        <v>0.17</v>
      </c>
      <c r="F226" s="360"/>
      <c r="G226" s="360"/>
      <c r="H226" s="369">
        <v>1</v>
      </c>
      <c r="I226" s="398">
        <f>C226*D226*E226*H226</f>
        <v>2.3868000000000005</v>
      </c>
      <c r="J226" s="370" t="s">
        <v>281</v>
      </c>
    </row>
    <row r="227" spans="1:10" ht="18.75" thickBot="1" x14ac:dyDescent="0.35">
      <c r="A227" s="371"/>
      <c r="B227" s="453" t="s">
        <v>491</v>
      </c>
      <c r="C227" s="364"/>
      <c r="D227" s="359"/>
      <c r="E227" s="360"/>
      <c r="F227" s="360"/>
      <c r="G227" s="360"/>
      <c r="H227" s="369"/>
      <c r="I227" s="398">
        <f>I194-I197-I200-I206</f>
        <v>6.4324999999999992</v>
      </c>
      <c r="J227" s="370" t="s">
        <v>281</v>
      </c>
    </row>
    <row r="228" spans="1:10" ht="19.5" thickTop="1" thickBot="1" x14ac:dyDescent="0.35">
      <c r="A228" s="371"/>
      <c r="B228" s="419"/>
      <c r="C228" s="420"/>
      <c r="D228" s="421"/>
      <c r="E228" s="422"/>
      <c r="F228" s="419"/>
      <c r="G228" s="478" t="s">
        <v>314</v>
      </c>
      <c r="H228" s="479"/>
      <c r="I228" s="423">
        <f>SUM(I226:I227)</f>
        <v>8.8193000000000001</v>
      </c>
      <c r="J228" s="424" t="s">
        <v>811</v>
      </c>
    </row>
    <row r="229" spans="1:10" ht="16.5" x14ac:dyDescent="0.3">
      <c r="A229" s="442"/>
      <c r="B229" s="377"/>
      <c r="C229" s="385"/>
      <c r="D229" s="378"/>
      <c r="E229" s="386"/>
      <c r="F229" s="379"/>
      <c r="G229" s="386"/>
      <c r="H229" s="386"/>
      <c r="I229" s="387"/>
      <c r="J229" s="449"/>
    </row>
    <row r="230" spans="1:10" ht="18.75" thickBot="1" x14ac:dyDescent="0.35">
      <c r="A230" s="371">
        <v>14</v>
      </c>
      <c r="B230" s="366" t="s">
        <v>492</v>
      </c>
      <c r="C230" s="364">
        <v>5.2</v>
      </c>
      <c r="D230" s="359">
        <v>2.7</v>
      </c>
      <c r="E230" s="360">
        <v>7.0000000000000007E-2</v>
      </c>
      <c r="F230" s="360"/>
      <c r="G230" s="360"/>
      <c r="H230" s="369">
        <v>1</v>
      </c>
      <c r="I230" s="398">
        <f>C230*D230*E230*H230</f>
        <v>0.98280000000000012</v>
      </c>
      <c r="J230" s="370" t="s">
        <v>281</v>
      </c>
    </row>
    <row r="231" spans="1:10" ht="19.5" thickTop="1" thickBot="1" x14ac:dyDescent="0.35">
      <c r="A231" s="371"/>
      <c r="B231" s="419"/>
      <c r="C231" s="420"/>
      <c r="D231" s="421"/>
      <c r="E231" s="422"/>
      <c r="F231" s="419"/>
      <c r="G231" s="478" t="s">
        <v>314</v>
      </c>
      <c r="H231" s="479"/>
      <c r="I231" s="423">
        <f>SUM(I230:I230)</f>
        <v>0.98280000000000012</v>
      </c>
      <c r="J231" s="424" t="s">
        <v>811</v>
      </c>
    </row>
    <row r="232" spans="1:10" ht="16.5" x14ac:dyDescent="0.3">
      <c r="A232" s="442"/>
      <c r="B232" s="377"/>
      <c r="C232" s="385"/>
      <c r="D232" s="378"/>
      <c r="E232" s="386"/>
      <c r="F232" s="379"/>
      <c r="G232" s="386"/>
      <c r="H232" s="386"/>
      <c r="I232" s="387"/>
      <c r="J232" s="449"/>
    </row>
    <row r="233" spans="1:10" ht="18.75" thickBot="1" x14ac:dyDescent="0.35">
      <c r="A233" s="371">
        <v>15</v>
      </c>
      <c r="B233" s="366" t="s">
        <v>493</v>
      </c>
      <c r="C233" s="364">
        <v>5.2</v>
      </c>
      <c r="D233" s="359">
        <v>2.7</v>
      </c>
      <c r="E233" s="360"/>
      <c r="F233" s="360"/>
      <c r="G233" s="360"/>
      <c r="H233" s="369">
        <v>1</v>
      </c>
      <c r="I233" s="398">
        <f>C233*D233*H233</f>
        <v>14.040000000000001</v>
      </c>
      <c r="J233" s="370" t="s">
        <v>281</v>
      </c>
    </row>
    <row r="234" spans="1:10" ht="19.5" thickTop="1" thickBot="1" x14ac:dyDescent="0.35">
      <c r="A234" s="371"/>
      <c r="B234" s="419"/>
      <c r="C234" s="420"/>
      <c r="D234" s="421"/>
      <c r="E234" s="422"/>
      <c r="F234" s="419"/>
      <c r="G234" s="478" t="s">
        <v>314</v>
      </c>
      <c r="H234" s="479"/>
      <c r="I234" s="423">
        <f>SUM(I233:I233)</f>
        <v>14.040000000000001</v>
      </c>
      <c r="J234" s="424" t="s">
        <v>811</v>
      </c>
    </row>
    <row r="235" spans="1:10" ht="16.5" x14ac:dyDescent="0.3">
      <c r="A235" s="442"/>
      <c r="B235" s="377"/>
      <c r="C235" s="385"/>
      <c r="D235" s="378"/>
      <c r="E235" s="386"/>
      <c r="F235" s="379"/>
      <c r="G235" s="386"/>
      <c r="H235" s="386"/>
      <c r="I235" s="387"/>
      <c r="J235" s="449"/>
    </row>
    <row r="236" spans="1:10" ht="18.75" thickBot="1" x14ac:dyDescent="0.35">
      <c r="A236" s="371">
        <v>16</v>
      </c>
      <c r="B236" s="366" t="s">
        <v>504</v>
      </c>
      <c r="C236" s="364">
        <v>6.15</v>
      </c>
      <c r="D236" s="359">
        <v>3.65</v>
      </c>
      <c r="E236" s="360"/>
      <c r="F236" s="360"/>
      <c r="G236" s="360"/>
      <c r="H236" s="369">
        <v>1</v>
      </c>
      <c r="I236" s="398">
        <f>C236*D236*H236</f>
        <v>22.447500000000002</v>
      </c>
      <c r="J236" s="370" t="s">
        <v>281</v>
      </c>
    </row>
    <row r="237" spans="1:10" ht="19.5" thickTop="1" thickBot="1" x14ac:dyDescent="0.35">
      <c r="A237" s="371"/>
      <c r="B237" s="419"/>
      <c r="C237" s="420"/>
      <c r="D237" s="421"/>
      <c r="E237" s="422"/>
      <c r="F237" s="419"/>
      <c r="G237" s="478" t="s">
        <v>314</v>
      </c>
      <c r="H237" s="479"/>
      <c r="I237" s="423">
        <f>SUM(I236:I236)</f>
        <v>22.447500000000002</v>
      </c>
      <c r="J237" s="424" t="s">
        <v>811</v>
      </c>
    </row>
    <row r="238" spans="1:10" ht="16.5" x14ac:dyDescent="0.3">
      <c r="A238" s="442"/>
      <c r="B238" s="377"/>
      <c r="C238" s="385"/>
      <c r="D238" s="378"/>
      <c r="E238" s="386"/>
      <c r="F238" s="379"/>
      <c r="G238" s="386"/>
      <c r="H238" s="386"/>
      <c r="I238" s="387"/>
      <c r="J238" s="449"/>
    </row>
    <row r="239" spans="1:10" ht="18.75" thickBot="1" x14ac:dyDescent="0.35">
      <c r="A239" s="371">
        <v>17</v>
      </c>
      <c r="B239" s="366" t="s">
        <v>506</v>
      </c>
      <c r="C239" s="364">
        <v>6.25</v>
      </c>
      <c r="D239" s="359">
        <v>4</v>
      </c>
      <c r="E239" s="360"/>
      <c r="F239" s="360"/>
      <c r="G239" s="360"/>
      <c r="H239" s="369">
        <v>1</v>
      </c>
      <c r="I239" s="398">
        <f>C239*D239*H239</f>
        <v>25</v>
      </c>
      <c r="J239" s="370" t="s">
        <v>281</v>
      </c>
    </row>
    <row r="240" spans="1:10" ht="19.5" thickTop="1" thickBot="1" x14ac:dyDescent="0.35">
      <c r="A240" s="371"/>
      <c r="B240" s="419"/>
      <c r="C240" s="420"/>
      <c r="D240" s="421"/>
      <c r="E240" s="422"/>
      <c r="F240" s="419"/>
      <c r="G240" s="478" t="s">
        <v>314</v>
      </c>
      <c r="H240" s="479"/>
      <c r="I240" s="423">
        <f>SUM(I239:I239)</f>
        <v>25</v>
      </c>
      <c r="J240" s="424" t="s">
        <v>811</v>
      </c>
    </row>
    <row r="241" spans="1:10" ht="16.5" x14ac:dyDescent="0.3">
      <c r="A241" s="442"/>
      <c r="B241" s="377"/>
      <c r="C241" s="385"/>
      <c r="D241" s="378"/>
      <c r="E241" s="386"/>
      <c r="F241" s="379"/>
      <c r="G241" s="386"/>
      <c r="H241" s="386"/>
      <c r="I241" s="387"/>
      <c r="J241" s="449"/>
    </row>
    <row r="242" spans="1:10" ht="18.75" thickBot="1" x14ac:dyDescent="0.35">
      <c r="A242" s="371">
        <v>18</v>
      </c>
      <c r="B242" s="366" t="s">
        <v>509</v>
      </c>
      <c r="C242" s="364">
        <f>5.4+3+6.15+3.75+(1.65*10)+(1.35*8)+(2.8*2)</f>
        <v>51.199999999999996</v>
      </c>
      <c r="D242" s="359"/>
      <c r="E242" s="360"/>
      <c r="F242" s="360"/>
      <c r="G242" s="360"/>
      <c r="H242" s="369">
        <v>1</v>
      </c>
      <c r="I242" s="398">
        <f>C242*H242</f>
        <v>51.199999999999996</v>
      </c>
      <c r="J242" s="370" t="s">
        <v>281</v>
      </c>
    </row>
    <row r="243" spans="1:10" ht="19.5" thickTop="1" thickBot="1" x14ac:dyDescent="0.35">
      <c r="A243" s="371"/>
      <c r="B243" s="419"/>
      <c r="C243" s="420"/>
      <c r="D243" s="421"/>
      <c r="E243" s="422"/>
      <c r="F243" s="419"/>
      <c r="G243" s="478" t="s">
        <v>314</v>
      </c>
      <c r="H243" s="479"/>
      <c r="I243" s="423">
        <f>SUM(I242:I242)</f>
        <v>51.199999999999996</v>
      </c>
      <c r="J243" s="424" t="s">
        <v>811</v>
      </c>
    </row>
    <row r="244" spans="1:10" ht="16.5" x14ac:dyDescent="0.3">
      <c r="A244" s="442"/>
      <c r="B244" s="377"/>
      <c r="C244" s="385"/>
      <c r="D244" s="378"/>
      <c r="E244" s="386"/>
      <c r="F244" s="379"/>
      <c r="G244" s="386"/>
      <c r="H244" s="386"/>
      <c r="I244" s="387"/>
      <c r="J244" s="449"/>
    </row>
    <row r="245" spans="1:10" ht="18" x14ac:dyDescent="0.3">
      <c r="A245" s="371">
        <v>19</v>
      </c>
      <c r="B245" s="366" t="s">
        <v>576</v>
      </c>
      <c r="C245" s="364">
        <f>0.68+0.68+0.45+0.45</f>
        <v>2.2600000000000002</v>
      </c>
      <c r="D245" s="359"/>
      <c r="E245" s="360"/>
      <c r="F245" s="360"/>
      <c r="G245" s="360"/>
      <c r="H245" s="369">
        <v>2</v>
      </c>
      <c r="I245" s="398">
        <f>C245*H245</f>
        <v>4.5200000000000005</v>
      </c>
      <c r="J245" s="370" t="s">
        <v>281</v>
      </c>
    </row>
    <row r="246" spans="1:10" ht="18.75" thickBot="1" x14ac:dyDescent="0.35">
      <c r="A246" s="371"/>
      <c r="B246" s="372"/>
      <c r="C246" s="364">
        <f>1.32+1.32+0.45+0.45+0.45</f>
        <v>3.9900000000000007</v>
      </c>
      <c r="D246" s="359"/>
      <c r="E246" s="360"/>
      <c r="F246" s="360"/>
      <c r="G246" s="360"/>
      <c r="H246" s="369">
        <v>2</v>
      </c>
      <c r="I246" s="398">
        <f>C246*H246</f>
        <v>7.9800000000000013</v>
      </c>
      <c r="J246" s="370" t="s">
        <v>281</v>
      </c>
    </row>
    <row r="247" spans="1:10" ht="19.5" thickTop="1" thickBot="1" x14ac:dyDescent="0.35">
      <c r="A247" s="371"/>
      <c r="B247" s="419"/>
      <c r="C247" s="420"/>
      <c r="D247" s="421"/>
      <c r="E247" s="422"/>
      <c r="F247" s="419"/>
      <c r="G247" s="478" t="s">
        <v>314</v>
      </c>
      <c r="H247" s="479"/>
      <c r="I247" s="423">
        <f>SUM(I245:I246)</f>
        <v>12.500000000000002</v>
      </c>
      <c r="J247" s="424" t="s">
        <v>811</v>
      </c>
    </row>
    <row r="248" spans="1:10" ht="16.5" x14ac:dyDescent="0.3">
      <c r="A248" s="442"/>
      <c r="B248" s="377"/>
      <c r="C248" s="385"/>
      <c r="D248" s="378"/>
      <c r="E248" s="386"/>
      <c r="F248" s="379"/>
      <c r="G248" s="386"/>
      <c r="H248" s="386"/>
      <c r="I248" s="387"/>
      <c r="J248" s="449"/>
    </row>
    <row r="249" spans="1:10" ht="18.75" thickBot="1" x14ac:dyDescent="0.35">
      <c r="A249" s="371">
        <v>20</v>
      </c>
      <c r="B249" s="366" t="s">
        <v>578</v>
      </c>
      <c r="C249" s="364">
        <v>0.6</v>
      </c>
      <c r="D249" s="359"/>
      <c r="E249" s="360">
        <v>0.25</v>
      </c>
      <c r="F249" s="360"/>
      <c r="G249" s="360"/>
      <c r="H249" s="369">
        <v>12</v>
      </c>
      <c r="I249" s="398">
        <f>C249*E249*H249</f>
        <v>1.7999999999999998</v>
      </c>
      <c r="J249" s="370" t="s">
        <v>281</v>
      </c>
    </row>
    <row r="250" spans="1:10" ht="19.5" thickTop="1" thickBot="1" x14ac:dyDescent="0.35">
      <c r="A250" s="454"/>
      <c r="B250" s="455"/>
      <c r="C250" s="456"/>
      <c r="D250" s="457"/>
      <c r="E250" s="458"/>
      <c r="F250" s="455"/>
      <c r="G250" s="480" t="s">
        <v>314</v>
      </c>
      <c r="H250" s="481"/>
      <c r="I250" s="459">
        <f>SUM(I249:I249)</f>
        <v>1.7999999999999998</v>
      </c>
      <c r="J250" s="460" t="s">
        <v>811</v>
      </c>
    </row>
    <row r="251" spans="1:10" ht="15.75" thickTop="1" x14ac:dyDescent="0.25"/>
  </sheetData>
  <mergeCells count="69">
    <mergeCell ref="G105:H105"/>
    <mergeCell ref="G106:H106"/>
    <mergeCell ref="G109:H109"/>
    <mergeCell ref="G110:H110"/>
    <mergeCell ref="G178:H178"/>
    <mergeCell ref="G181:H181"/>
    <mergeCell ref="G185:H185"/>
    <mergeCell ref="G144:H144"/>
    <mergeCell ref="G131:H131"/>
    <mergeCell ref="G134:H134"/>
    <mergeCell ref="G228:H228"/>
    <mergeCell ref="G231:H231"/>
    <mergeCell ref="G234:H234"/>
    <mergeCell ref="G23:H23"/>
    <mergeCell ref="G28:H28"/>
    <mergeCell ref="G34:H34"/>
    <mergeCell ref="G148:H148"/>
    <mergeCell ref="G153:H153"/>
    <mergeCell ref="G44:H44"/>
    <mergeCell ref="G122:H122"/>
    <mergeCell ref="G125:H125"/>
    <mergeCell ref="G128:H128"/>
    <mergeCell ref="G141:H141"/>
    <mergeCell ref="G171:H171"/>
    <mergeCell ref="G174:H174"/>
    <mergeCell ref="G52:H52"/>
    <mergeCell ref="A1:J1"/>
    <mergeCell ref="A2:J2"/>
    <mergeCell ref="A4:A5"/>
    <mergeCell ref="B4:B5"/>
    <mergeCell ref="C4:J4"/>
    <mergeCell ref="G60:H60"/>
    <mergeCell ref="G62:H62"/>
    <mergeCell ref="G72:H72"/>
    <mergeCell ref="G115:H115"/>
    <mergeCell ref="G168:H168"/>
    <mergeCell ref="G80:H80"/>
    <mergeCell ref="G165:H165"/>
    <mergeCell ref="G156:H156"/>
    <mergeCell ref="G159:H159"/>
    <mergeCell ref="G162:H162"/>
    <mergeCell ref="G118:H118"/>
    <mergeCell ref="G84:H84"/>
    <mergeCell ref="G86:H86"/>
    <mergeCell ref="G88:H88"/>
    <mergeCell ref="G90:H90"/>
    <mergeCell ref="G92:H92"/>
    <mergeCell ref="G191:H191"/>
    <mergeCell ref="G188:H188"/>
    <mergeCell ref="G194:H194"/>
    <mergeCell ref="G197:H197"/>
    <mergeCell ref="G200:H200"/>
    <mergeCell ref="G218:H218"/>
    <mergeCell ref="G224:H224"/>
    <mergeCell ref="G203:H203"/>
    <mergeCell ref="G206:H206"/>
    <mergeCell ref="G209:H209"/>
    <mergeCell ref="G212:H212"/>
    <mergeCell ref="G215:H215"/>
    <mergeCell ref="G237:H237"/>
    <mergeCell ref="G240:H240"/>
    <mergeCell ref="G243:H243"/>
    <mergeCell ref="G247:H247"/>
    <mergeCell ref="G250:H250"/>
    <mergeCell ref="G94:H94"/>
    <mergeCell ref="G96:H96"/>
    <mergeCell ref="G98:H98"/>
    <mergeCell ref="G102:H102"/>
    <mergeCell ref="G101:H101"/>
  </mergeCells>
  <printOptions horizontalCentered="1"/>
  <pageMargins left="0.43307086614173229" right="0.31496062992125984" top="0.6692913385826772" bottom="0.31496062992125984" header="0.31496062992125984" footer="0.31496062992125984"/>
  <pageSetup paperSize="256" scale="99" orientation="portrait" horizontalDpi="4294967293" r:id="rId1"/>
  <rowBreaks count="3" manualBreakCount="3">
    <brk id="52" max="9" man="1"/>
    <brk id="148" max="9" man="1"/>
    <brk id="20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6"/>
  <sheetViews>
    <sheetView view="pageBreakPreview" zoomScale="90" zoomScaleNormal="100" zoomScaleSheetLayoutView="90" workbookViewId="0">
      <selection sqref="A1:XFD1048576"/>
    </sheetView>
  </sheetViews>
  <sheetFormatPr defaultColWidth="8.85546875" defaultRowHeight="15" x14ac:dyDescent="0.25"/>
  <cols>
    <col min="1" max="6" width="8.85546875" style="135"/>
    <col min="7" max="7" width="10.7109375" style="135" customWidth="1"/>
    <col min="8" max="8" width="8.85546875" style="135"/>
    <col min="9" max="9" width="10.5703125" style="135" bestFit="1" customWidth="1"/>
    <col min="10" max="16384" width="8.85546875" style="135"/>
  </cols>
  <sheetData>
    <row r="1" spans="1:10" ht="15.75" thickBot="1" x14ac:dyDescent="0.3">
      <c r="A1" s="108" t="s">
        <v>581</v>
      </c>
    </row>
    <row r="2" spans="1:10" x14ac:dyDescent="0.25">
      <c r="A2" s="493" t="s">
        <v>345</v>
      </c>
      <c r="B2" s="495" t="s">
        <v>346</v>
      </c>
      <c r="C2" s="288" t="s">
        <v>347</v>
      </c>
      <c r="D2" s="289" t="s">
        <v>348</v>
      </c>
      <c r="E2" s="288" t="s">
        <v>349</v>
      </c>
      <c r="F2" s="497" t="s">
        <v>350</v>
      </c>
      <c r="G2" s="498"/>
      <c r="H2" s="498"/>
      <c r="I2" s="498"/>
      <c r="J2" s="499"/>
    </row>
    <row r="3" spans="1:10" ht="15.75" thickBot="1" x14ac:dyDescent="0.3">
      <c r="A3" s="494"/>
      <c r="B3" s="496"/>
      <c r="C3" s="290" t="s">
        <v>351</v>
      </c>
      <c r="D3" s="291" t="s">
        <v>352</v>
      </c>
      <c r="E3" s="290" t="s">
        <v>353</v>
      </c>
      <c r="F3" s="292">
        <v>10</v>
      </c>
      <c r="G3" s="293">
        <v>12</v>
      </c>
      <c r="H3" s="293">
        <v>14</v>
      </c>
      <c r="I3" s="293">
        <v>16</v>
      </c>
      <c r="J3" s="294">
        <v>22</v>
      </c>
    </row>
    <row r="4" spans="1:10" ht="15.75" thickBot="1" x14ac:dyDescent="0.3">
      <c r="A4" s="500" t="s">
        <v>354</v>
      </c>
      <c r="B4" s="295">
        <v>1</v>
      </c>
      <c r="C4" s="296">
        <v>12</v>
      </c>
      <c r="D4" s="297">
        <f>5+0.075+0.075</f>
        <v>5.15</v>
      </c>
      <c r="E4" s="298">
        <f>(3.5/0.1)+1</f>
        <v>36</v>
      </c>
      <c r="F4" s="299"/>
      <c r="G4" s="300">
        <f>(D4*E4)*4</f>
        <v>741.6</v>
      </c>
      <c r="H4" s="300"/>
      <c r="I4" s="301"/>
      <c r="J4" s="302"/>
    </row>
    <row r="5" spans="1:10" x14ac:dyDescent="0.25">
      <c r="A5" s="501"/>
      <c r="B5" s="303">
        <f t="shared" ref="B5:B8" si="0">B4+1</f>
        <v>2</v>
      </c>
      <c r="C5" s="304">
        <v>12</v>
      </c>
      <c r="D5" s="305">
        <f>3.5+0.075+0.075</f>
        <v>3.6500000000000004</v>
      </c>
      <c r="E5" s="306">
        <f>(5/0.1)+1</f>
        <v>51</v>
      </c>
      <c r="F5" s="307"/>
      <c r="G5" s="300">
        <f>(D5*E5)*4</f>
        <v>744.6</v>
      </c>
      <c r="H5" s="308"/>
      <c r="I5" s="303"/>
      <c r="J5" s="309"/>
    </row>
    <row r="6" spans="1:10" x14ac:dyDescent="0.25">
      <c r="A6" s="501"/>
      <c r="B6" s="303">
        <f t="shared" si="0"/>
        <v>3</v>
      </c>
      <c r="C6" s="304">
        <v>12</v>
      </c>
      <c r="D6" s="310">
        <f>0.8+0.075+0.075</f>
        <v>0.95</v>
      </c>
      <c r="E6" s="306">
        <f>(2.65/0.1)+1</f>
        <v>27.499999999999996</v>
      </c>
      <c r="F6" s="307"/>
      <c r="G6" s="311">
        <f t="shared" ref="G6:G13" si="1">D6*E6</f>
        <v>26.124999999999996</v>
      </c>
      <c r="H6" s="303"/>
      <c r="I6" s="303"/>
      <c r="J6" s="309"/>
    </row>
    <row r="7" spans="1:10" x14ac:dyDescent="0.25">
      <c r="A7" s="501"/>
      <c r="B7" s="303">
        <f t="shared" si="0"/>
        <v>4</v>
      </c>
      <c r="C7" s="304">
        <v>12</v>
      </c>
      <c r="D7" s="310">
        <f>2.65+0.075+0.075</f>
        <v>2.8000000000000003</v>
      </c>
      <c r="E7" s="306">
        <f>(0.8/0.1)+1</f>
        <v>9</v>
      </c>
      <c r="F7" s="307"/>
      <c r="G7" s="311">
        <f t="shared" si="1"/>
        <v>25.200000000000003</v>
      </c>
      <c r="H7" s="303"/>
      <c r="I7" s="303"/>
      <c r="J7" s="309"/>
    </row>
    <row r="8" spans="1:10" x14ac:dyDescent="0.25">
      <c r="A8" s="501"/>
      <c r="B8" s="303">
        <f t="shared" si="0"/>
        <v>5</v>
      </c>
      <c r="C8" s="304">
        <v>12</v>
      </c>
      <c r="D8" s="310">
        <f>3.25+0.075+0.075</f>
        <v>3.4000000000000004</v>
      </c>
      <c r="E8" s="306">
        <f>(2.35/0.1)+1</f>
        <v>24.5</v>
      </c>
      <c r="F8" s="307"/>
      <c r="G8" s="311">
        <f t="shared" si="1"/>
        <v>83.300000000000011</v>
      </c>
      <c r="H8" s="303"/>
      <c r="I8" s="303"/>
      <c r="J8" s="309"/>
    </row>
    <row r="9" spans="1:10" x14ac:dyDescent="0.25">
      <c r="A9" s="501"/>
      <c r="B9" s="312">
        <v>6</v>
      </c>
      <c r="C9" s="313">
        <v>12</v>
      </c>
      <c r="D9" s="314">
        <f>2.35+0.075+0.075</f>
        <v>2.5000000000000004</v>
      </c>
      <c r="E9" s="314">
        <f>(3.25/0.1)+1</f>
        <v>33.5</v>
      </c>
      <c r="F9" s="299"/>
      <c r="G9" s="315">
        <f t="shared" si="1"/>
        <v>83.750000000000014</v>
      </c>
      <c r="H9" s="312"/>
      <c r="I9" s="312"/>
      <c r="J9" s="316"/>
    </row>
    <row r="10" spans="1:10" x14ac:dyDescent="0.25">
      <c r="A10" s="501"/>
      <c r="B10" s="312">
        <v>7</v>
      </c>
      <c r="C10" s="313">
        <v>12</v>
      </c>
      <c r="D10" s="314">
        <f>2+0.075+0.075</f>
        <v>2.1500000000000004</v>
      </c>
      <c r="E10" s="314">
        <f>(5/0.1)+1</f>
        <v>51</v>
      </c>
      <c r="F10" s="299"/>
      <c r="G10" s="315">
        <f t="shared" si="1"/>
        <v>109.65000000000002</v>
      </c>
      <c r="H10" s="312"/>
      <c r="I10" s="312"/>
      <c r="J10" s="316"/>
    </row>
    <row r="11" spans="1:10" x14ac:dyDescent="0.25">
      <c r="A11" s="501"/>
      <c r="B11" s="312">
        <v>8</v>
      </c>
      <c r="C11" s="313">
        <v>12</v>
      </c>
      <c r="D11" s="312">
        <f>5+0.075+0.075</f>
        <v>5.15</v>
      </c>
      <c r="E11" s="314">
        <f>(2/0.1)+1</f>
        <v>21</v>
      </c>
      <c r="F11" s="299"/>
      <c r="G11" s="315">
        <f t="shared" si="1"/>
        <v>108.15</v>
      </c>
      <c r="H11" s="312"/>
      <c r="I11" s="312"/>
      <c r="J11" s="316"/>
    </row>
    <row r="12" spans="1:10" x14ac:dyDescent="0.25">
      <c r="A12" s="501"/>
      <c r="B12" s="312">
        <v>9</v>
      </c>
      <c r="C12" s="313">
        <v>12</v>
      </c>
      <c r="D12" s="314">
        <f>1.4+0.075+0.075</f>
        <v>1.5499999999999998</v>
      </c>
      <c r="E12" s="314">
        <f>(0.73/0.1)+1</f>
        <v>8.3000000000000007</v>
      </c>
      <c r="F12" s="299"/>
      <c r="G12" s="315">
        <f t="shared" si="1"/>
        <v>12.865</v>
      </c>
      <c r="H12" s="312"/>
      <c r="I12" s="312"/>
      <c r="J12" s="316"/>
    </row>
    <row r="13" spans="1:10" ht="15.75" thickBot="1" x14ac:dyDescent="0.3">
      <c r="A13" s="501"/>
      <c r="B13" s="312">
        <v>10</v>
      </c>
      <c r="C13" s="313">
        <v>12</v>
      </c>
      <c r="D13" s="312">
        <f>0.73+0.075+0.075</f>
        <v>0.87999999999999989</v>
      </c>
      <c r="E13" s="314">
        <f>(1.4/0.1)+1</f>
        <v>14.999999999999998</v>
      </c>
      <c r="F13" s="299"/>
      <c r="G13" s="315">
        <f t="shared" si="1"/>
        <v>13.199999999999998</v>
      </c>
      <c r="H13" s="312"/>
      <c r="I13" s="312"/>
      <c r="J13" s="316"/>
    </row>
    <row r="14" spans="1:10" x14ac:dyDescent="0.25">
      <c r="A14" s="317" t="s">
        <v>355</v>
      </c>
      <c r="B14" s="318"/>
      <c r="C14" s="318"/>
      <c r="D14" s="318"/>
      <c r="E14" s="319" t="s">
        <v>356</v>
      </c>
      <c r="F14" s="109">
        <f>SUM(F4:F13)</f>
        <v>0</v>
      </c>
      <c r="G14" s="109">
        <f>SUM(G4:G13)</f>
        <v>1948.4400000000003</v>
      </c>
      <c r="H14" s="109">
        <f>SUM(H4:H13)</f>
        <v>0</v>
      </c>
      <c r="I14" s="109">
        <f>SUM(I4:I13)</f>
        <v>0</v>
      </c>
      <c r="J14" s="110">
        <f>SUM(J4:J13)</f>
        <v>0</v>
      </c>
    </row>
    <row r="15" spans="1:10" x14ac:dyDescent="0.25">
      <c r="A15" s="320" t="s">
        <v>357</v>
      </c>
      <c r="B15" s="321"/>
      <c r="C15" s="321"/>
      <c r="D15" s="321"/>
      <c r="E15" s="322" t="s">
        <v>356</v>
      </c>
      <c r="F15" s="111">
        <f>0.617*F3^2/100</f>
        <v>0.61699999999999999</v>
      </c>
      <c r="G15" s="111">
        <f>0.617*G3^2/100</f>
        <v>0.88847999999999994</v>
      </c>
      <c r="H15" s="111">
        <f>0.617*H3^2/100</f>
        <v>1.20932</v>
      </c>
      <c r="I15" s="111">
        <f>0.617*I3^2/100</f>
        <v>1.57952</v>
      </c>
      <c r="J15" s="112">
        <f>0.617*J3^2/100</f>
        <v>2.9862799999999998</v>
      </c>
    </row>
    <row r="16" spans="1:10" x14ac:dyDescent="0.25">
      <c r="A16" s="320" t="s">
        <v>358</v>
      </c>
      <c r="B16" s="321"/>
      <c r="C16" s="321"/>
      <c r="D16" s="321"/>
      <c r="E16" s="322" t="s">
        <v>356</v>
      </c>
      <c r="F16" s="111">
        <f>F14*F15</f>
        <v>0</v>
      </c>
      <c r="G16" s="111">
        <f t="shared" ref="G16:J16" si="2">G14*G15</f>
        <v>1731.1499712000002</v>
      </c>
      <c r="H16" s="111">
        <f t="shared" si="2"/>
        <v>0</v>
      </c>
      <c r="I16" s="111">
        <f t="shared" si="2"/>
        <v>0</v>
      </c>
      <c r="J16" s="112">
        <f t="shared" si="2"/>
        <v>0</v>
      </c>
    </row>
    <row r="17" spans="1:10" ht="15.75" thickBot="1" x14ac:dyDescent="0.3">
      <c r="A17" s="323" t="s">
        <v>359</v>
      </c>
      <c r="B17" s="324"/>
      <c r="C17" s="324"/>
      <c r="D17" s="324"/>
      <c r="E17" s="325" t="s">
        <v>356</v>
      </c>
      <c r="F17" s="503">
        <f>SUM(F16:J16)</f>
        <v>1731.1499712000002</v>
      </c>
      <c r="G17" s="503"/>
      <c r="H17" s="326" t="s">
        <v>186</v>
      </c>
      <c r="I17" s="326"/>
      <c r="J17" s="327"/>
    </row>
    <row r="19" spans="1:10" ht="15.75" thickBot="1" x14ac:dyDescent="0.3">
      <c r="A19" s="108" t="s">
        <v>582</v>
      </c>
    </row>
    <row r="20" spans="1:10" x14ac:dyDescent="0.25">
      <c r="A20" s="493" t="s">
        <v>345</v>
      </c>
      <c r="B20" s="495" t="s">
        <v>346</v>
      </c>
      <c r="C20" s="288" t="s">
        <v>347</v>
      </c>
      <c r="D20" s="289" t="s">
        <v>348</v>
      </c>
      <c r="E20" s="288" t="s">
        <v>349</v>
      </c>
      <c r="F20" s="497" t="s">
        <v>350</v>
      </c>
      <c r="G20" s="498"/>
      <c r="H20" s="498"/>
      <c r="I20" s="498"/>
      <c r="J20" s="499"/>
    </row>
    <row r="21" spans="1:10" ht="15.75" thickBot="1" x14ac:dyDescent="0.3">
      <c r="A21" s="494"/>
      <c r="B21" s="496"/>
      <c r="C21" s="290" t="s">
        <v>351</v>
      </c>
      <c r="D21" s="291" t="s">
        <v>352</v>
      </c>
      <c r="E21" s="290" t="s">
        <v>353</v>
      </c>
      <c r="F21" s="292">
        <v>8</v>
      </c>
      <c r="G21" s="293">
        <v>10</v>
      </c>
      <c r="H21" s="293">
        <v>12</v>
      </c>
      <c r="I21" s="293">
        <v>14</v>
      </c>
      <c r="J21" s="294">
        <v>16</v>
      </c>
    </row>
    <row r="22" spans="1:10" x14ac:dyDescent="0.25">
      <c r="A22" s="500" t="s">
        <v>662</v>
      </c>
      <c r="B22" s="295">
        <v>1</v>
      </c>
      <c r="C22" s="296">
        <v>12</v>
      </c>
      <c r="D22" s="297">
        <f>BackUp_Data!C25+BackUp_Data!C26+BackUp_Data!C27+0.075+0.075</f>
        <v>7.6424000000000003</v>
      </c>
      <c r="E22" s="298">
        <f>(1.15/0.1)+1</f>
        <v>12.499999999999998</v>
      </c>
      <c r="F22" s="299"/>
      <c r="G22" s="300"/>
      <c r="H22" s="300">
        <f>(D22*E22)*2</f>
        <v>191.05999999999997</v>
      </c>
      <c r="I22" s="301"/>
      <c r="J22" s="302"/>
    </row>
    <row r="23" spans="1:10" x14ac:dyDescent="0.25">
      <c r="A23" s="501"/>
      <c r="B23" s="303">
        <f t="shared" ref="B23:B26" si="3">B22+1</f>
        <v>2</v>
      </c>
      <c r="C23" s="304">
        <v>10</v>
      </c>
      <c r="D23" s="305">
        <f>1.15+1.15+0.1+0.1+0.075+0.075</f>
        <v>2.6500000000000004</v>
      </c>
      <c r="E23" s="306">
        <f>(D22/0.1)+1</f>
        <v>77.423999999999992</v>
      </c>
      <c r="F23" s="307"/>
      <c r="G23" s="303">
        <f>(D23*E23)*2</f>
        <v>410.34719999999999</v>
      </c>
      <c r="H23" s="308"/>
      <c r="I23" s="303"/>
      <c r="J23" s="309"/>
    </row>
    <row r="24" spans="1:10" x14ac:dyDescent="0.25">
      <c r="A24" s="501"/>
      <c r="B24" s="303">
        <f t="shared" si="3"/>
        <v>3</v>
      </c>
      <c r="C24" s="304">
        <v>8</v>
      </c>
      <c r="D24" s="310">
        <f>0.45+0.3+0.075+0.075</f>
        <v>0.89999999999999991</v>
      </c>
      <c r="E24" s="306">
        <f>(1.15/0.2)*17</f>
        <v>97.749999999999986</v>
      </c>
      <c r="F24" s="307">
        <f>D24*E24</f>
        <v>87.97499999999998</v>
      </c>
      <c r="G24" s="303"/>
      <c r="H24" s="303"/>
      <c r="I24" s="303"/>
      <c r="J24" s="309"/>
    </row>
    <row r="25" spans="1:10" x14ac:dyDescent="0.25">
      <c r="A25" s="501"/>
      <c r="B25" s="303">
        <f t="shared" si="3"/>
        <v>4</v>
      </c>
      <c r="C25" s="304">
        <v>12</v>
      </c>
      <c r="D25" s="310">
        <f>1.05+1.05+0.2+0.2+0.05+0.05</f>
        <v>2.6</v>
      </c>
      <c r="E25" s="306">
        <f>(1.15/0.15)+1</f>
        <v>8.6666666666666661</v>
      </c>
      <c r="F25" s="307"/>
      <c r="G25" s="303"/>
      <c r="H25" s="308">
        <f>D25*E25</f>
        <v>22.533333333333331</v>
      </c>
      <c r="I25" s="303"/>
      <c r="J25" s="309"/>
    </row>
    <row r="26" spans="1:10" x14ac:dyDescent="0.25">
      <c r="A26" s="501"/>
      <c r="B26" s="303">
        <f t="shared" si="3"/>
        <v>5</v>
      </c>
      <c r="C26" s="304">
        <v>12</v>
      </c>
      <c r="D26" s="310">
        <f>1.15+1.15+0.2+0.2+0.05+0.05</f>
        <v>2.8</v>
      </c>
      <c r="E26" s="306">
        <f>(1.05/0.15)+1</f>
        <v>8</v>
      </c>
      <c r="F26" s="307"/>
      <c r="G26" s="303"/>
      <c r="H26" s="308">
        <f>D26*E26</f>
        <v>22.4</v>
      </c>
      <c r="I26" s="303"/>
      <c r="J26" s="309"/>
    </row>
    <row r="27" spans="1:10" ht="15.75" thickBot="1" x14ac:dyDescent="0.3">
      <c r="A27" s="502"/>
      <c r="B27" s="292"/>
      <c r="C27" s="328"/>
      <c r="D27" s="292"/>
      <c r="E27" s="328"/>
      <c r="F27" s="329"/>
      <c r="G27" s="292"/>
      <c r="H27" s="292"/>
      <c r="I27" s="292"/>
      <c r="J27" s="330"/>
    </row>
    <row r="28" spans="1:10" x14ac:dyDescent="0.25">
      <c r="A28" s="317" t="s">
        <v>355</v>
      </c>
      <c r="B28" s="318"/>
      <c r="C28" s="318"/>
      <c r="D28" s="318"/>
      <c r="E28" s="319" t="s">
        <v>356</v>
      </c>
      <c r="F28" s="109">
        <f>SUM(F22:F27)</f>
        <v>87.97499999999998</v>
      </c>
      <c r="G28" s="109">
        <f>SUM(G22:G27)</f>
        <v>410.34719999999999</v>
      </c>
      <c r="H28" s="109">
        <f>SUM(H22:H27)</f>
        <v>235.99333333333331</v>
      </c>
      <c r="I28" s="109">
        <f>SUM(I22:I27)</f>
        <v>0</v>
      </c>
      <c r="J28" s="110">
        <f>SUM(J22:J27)</f>
        <v>0</v>
      </c>
    </row>
    <row r="29" spans="1:10" x14ac:dyDescent="0.25">
      <c r="A29" s="320" t="s">
        <v>357</v>
      </c>
      <c r="B29" s="321"/>
      <c r="C29" s="321"/>
      <c r="D29" s="321"/>
      <c r="E29" s="322" t="s">
        <v>356</v>
      </c>
      <c r="F29" s="111">
        <f>0.617*F21^2/100</f>
        <v>0.39488000000000001</v>
      </c>
      <c r="G29" s="111">
        <f>0.617*G21^2/100</f>
        <v>0.61699999999999999</v>
      </c>
      <c r="H29" s="111">
        <f>0.617*H21^2/100</f>
        <v>0.88847999999999994</v>
      </c>
      <c r="I29" s="111">
        <f>0.617*I21^2/100</f>
        <v>1.20932</v>
      </c>
      <c r="J29" s="112">
        <f>0.617*J21^2/100</f>
        <v>1.57952</v>
      </c>
    </row>
    <row r="30" spans="1:10" x14ac:dyDescent="0.25">
      <c r="A30" s="320" t="s">
        <v>358</v>
      </c>
      <c r="B30" s="321"/>
      <c r="C30" s="321"/>
      <c r="D30" s="321"/>
      <c r="E30" s="322" t="s">
        <v>356</v>
      </c>
      <c r="F30" s="111">
        <f>F28*F29</f>
        <v>34.739567999999991</v>
      </c>
      <c r="G30" s="111">
        <f t="shared" ref="G30:J30" si="4">G28*G29</f>
        <v>253.18422239999998</v>
      </c>
      <c r="H30" s="111">
        <f t="shared" si="4"/>
        <v>209.67535679999997</v>
      </c>
      <c r="I30" s="111">
        <f t="shared" si="4"/>
        <v>0</v>
      </c>
      <c r="J30" s="112">
        <f t="shared" si="4"/>
        <v>0</v>
      </c>
    </row>
    <row r="31" spans="1:10" ht="15.75" thickBot="1" x14ac:dyDescent="0.3">
      <c r="A31" s="323" t="s">
        <v>359</v>
      </c>
      <c r="B31" s="324"/>
      <c r="C31" s="324"/>
      <c r="D31" s="324"/>
      <c r="E31" s="325" t="s">
        <v>356</v>
      </c>
      <c r="F31" s="503">
        <f>SUM(F30:J30)</f>
        <v>497.59914719999995</v>
      </c>
      <c r="G31" s="503"/>
      <c r="H31" s="326" t="s">
        <v>186</v>
      </c>
      <c r="I31" s="326"/>
      <c r="J31" s="327"/>
    </row>
    <row r="33" spans="1:10" ht="15.75" thickBot="1" x14ac:dyDescent="0.3">
      <c r="A33" s="108" t="s">
        <v>583</v>
      </c>
    </row>
    <row r="34" spans="1:10" x14ac:dyDescent="0.25">
      <c r="A34" s="493" t="s">
        <v>345</v>
      </c>
      <c r="B34" s="495" t="s">
        <v>346</v>
      </c>
      <c r="C34" s="288" t="s">
        <v>347</v>
      </c>
      <c r="D34" s="289" t="s">
        <v>348</v>
      </c>
      <c r="E34" s="288" t="s">
        <v>349</v>
      </c>
      <c r="F34" s="497" t="s">
        <v>350</v>
      </c>
      <c r="G34" s="498"/>
      <c r="H34" s="498"/>
      <c r="I34" s="498"/>
      <c r="J34" s="499"/>
    </row>
    <row r="35" spans="1:10" ht="15.75" thickBot="1" x14ac:dyDescent="0.3">
      <c r="A35" s="494"/>
      <c r="B35" s="496"/>
      <c r="C35" s="290" t="s">
        <v>351</v>
      </c>
      <c r="D35" s="291" t="s">
        <v>352</v>
      </c>
      <c r="E35" s="290" t="s">
        <v>353</v>
      </c>
      <c r="F35" s="292">
        <v>8</v>
      </c>
      <c r="G35" s="293">
        <v>10</v>
      </c>
      <c r="H35" s="293">
        <v>12</v>
      </c>
      <c r="I35" s="293">
        <v>14</v>
      </c>
      <c r="J35" s="294">
        <v>16</v>
      </c>
    </row>
    <row r="36" spans="1:10" x14ac:dyDescent="0.25">
      <c r="A36" s="500" t="s">
        <v>592</v>
      </c>
      <c r="B36" s="295" t="s">
        <v>719</v>
      </c>
      <c r="C36" s="296">
        <v>14</v>
      </c>
      <c r="D36" s="297">
        <f>4.8+0.075+0.075</f>
        <v>4.95</v>
      </c>
      <c r="E36" s="298">
        <f>6+4</f>
        <v>10</v>
      </c>
      <c r="F36" s="299"/>
      <c r="G36" s="300"/>
      <c r="H36" s="300"/>
      <c r="I36" s="301">
        <f>(D36*E36)*4</f>
        <v>198</v>
      </c>
      <c r="J36" s="302"/>
    </row>
    <row r="37" spans="1:10" x14ac:dyDescent="0.25">
      <c r="A37" s="501"/>
      <c r="B37" s="303"/>
      <c r="C37" s="304">
        <v>12</v>
      </c>
      <c r="D37" s="310">
        <f>4.8+0.075+0.075</f>
        <v>4.95</v>
      </c>
      <c r="E37" s="306">
        <v>2</v>
      </c>
      <c r="F37" s="307"/>
      <c r="G37" s="308"/>
      <c r="H37" s="308">
        <f>(D37*E37)*4</f>
        <v>39.6</v>
      </c>
      <c r="I37" s="311"/>
      <c r="J37" s="331"/>
    </row>
    <row r="38" spans="1:10" x14ac:dyDescent="0.25">
      <c r="A38" s="501"/>
      <c r="B38" s="303"/>
      <c r="C38" s="304">
        <v>8</v>
      </c>
      <c r="D38" s="305">
        <f>0.45+0.55+0.25+0.25+0.05+0.05</f>
        <v>1.6</v>
      </c>
      <c r="E38" s="306">
        <f>(4.58/((0.125+0.15)/2))+1</f>
        <v>34.309090909090905</v>
      </c>
      <c r="F38" s="307">
        <f>(D38*E38)*4</f>
        <v>219.5781818181818</v>
      </c>
      <c r="G38" s="303"/>
      <c r="H38" s="308"/>
      <c r="I38" s="303"/>
      <c r="J38" s="309"/>
    </row>
    <row r="39" spans="1:10" x14ac:dyDescent="0.25">
      <c r="A39" s="501"/>
      <c r="B39" s="303" t="s">
        <v>584</v>
      </c>
      <c r="C39" s="304">
        <v>14</v>
      </c>
      <c r="D39" s="303">
        <f>5+0.075+0.075</f>
        <v>5.15</v>
      </c>
      <c r="E39" s="306">
        <f>5+3</f>
        <v>8</v>
      </c>
      <c r="F39" s="307"/>
      <c r="G39" s="303"/>
      <c r="H39" s="303"/>
      <c r="I39" s="311">
        <f>D39*E39</f>
        <v>41.2</v>
      </c>
      <c r="J39" s="309"/>
    </row>
    <row r="40" spans="1:10" x14ac:dyDescent="0.25">
      <c r="A40" s="501"/>
      <c r="B40" s="303"/>
      <c r="C40" s="304">
        <v>12</v>
      </c>
      <c r="D40" s="303">
        <f>5+0.075+0.075</f>
        <v>5.15</v>
      </c>
      <c r="E40" s="306">
        <v>2</v>
      </c>
      <c r="F40" s="307"/>
      <c r="G40" s="303"/>
      <c r="H40" s="311">
        <f>D40*E40</f>
        <v>10.3</v>
      </c>
      <c r="I40" s="311"/>
      <c r="J40" s="309"/>
    </row>
    <row r="41" spans="1:10" x14ac:dyDescent="0.25">
      <c r="A41" s="501"/>
      <c r="B41" s="303"/>
      <c r="C41" s="304">
        <v>8</v>
      </c>
      <c r="D41" s="310">
        <f>0.35+0.35+0.15+0.15+0.05+0.05</f>
        <v>1.1000000000000001</v>
      </c>
      <c r="E41" s="306">
        <f>(4.65/((0.125+0.15)/2))+1</f>
        <v>34.81818181818182</v>
      </c>
      <c r="F41" s="307">
        <f>D41*E41</f>
        <v>38.300000000000004</v>
      </c>
      <c r="G41" s="303"/>
      <c r="H41" s="303"/>
      <c r="I41" s="303"/>
      <c r="J41" s="309"/>
    </row>
    <row r="42" spans="1:10" x14ac:dyDescent="0.25">
      <c r="A42" s="501"/>
      <c r="B42" s="332"/>
      <c r="C42" s="333">
        <v>14</v>
      </c>
      <c r="D42" s="332">
        <f>3.1+0.075+0.075</f>
        <v>3.2500000000000004</v>
      </c>
      <c r="E42" s="334">
        <f>5+3</f>
        <v>8</v>
      </c>
      <c r="F42" s="335"/>
      <c r="G42" s="332"/>
      <c r="H42" s="332"/>
      <c r="I42" s="336">
        <f>(D42*E42)*3</f>
        <v>78.000000000000014</v>
      </c>
      <c r="J42" s="337"/>
    </row>
    <row r="43" spans="1:10" x14ac:dyDescent="0.25">
      <c r="A43" s="501"/>
      <c r="B43" s="332"/>
      <c r="C43" s="333">
        <v>12</v>
      </c>
      <c r="D43" s="332">
        <f>3.1+0.075+0.075</f>
        <v>3.2500000000000004</v>
      </c>
      <c r="E43" s="334">
        <v>2</v>
      </c>
      <c r="F43" s="335"/>
      <c r="G43" s="332"/>
      <c r="H43" s="336">
        <f>(D43*E43)*3</f>
        <v>19.500000000000004</v>
      </c>
      <c r="I43" s="336"/>
      <c r="J43" s="337"/>
    </row>
    <row r="44" spans="1:10" x14ac:dyDescent="0.25">
      <c r="A44" s="501"/>
      <c r="B44" s="332"/>
      <c r="C44" s="333">
        <v>8</v>
      </c>
      <c r="D44" s="338">
        <f>0.35+0.35+0.15+0.15+0.05+0.05</f>
        <v>1.1000000000000001</v>
      </c>
      <c r="E44" s="334">
        <f>(3.02/((0.125+0.15)/2))+1</f>
        <v>22.963636363636361</v>
      </c>
      <c r="F44" s="335">
        <f>(D44*E44)*3</f>
        <v>75.78</v>
      </c>
      <c r="G44" s="332"/>
      <c r="H44" s="332"/>
      <c r="I44" s="332"/>
      <c r="J44" s="337"/>
    </row>
    <row r="45" spans="1:10" x14ac:dyDescent="0.25">
      <c r="A45" s="501"/>
      <c r="B45" s="303" t="s">
        <v>585</v>
      </c>
      <c r="C45" s="304">
        <v>14</v>
      </c>
      <c r="D45" s="310">
        <f>2.65+0.075+0.075</f>
        <v>2.8000000000000003</v>
      </c>
      <c r="E45" s="306">
        <f>3+2</f>
        <v>5</v>
      </c>
      <c r="F45" s="307"/>
      <c r="G45" s="303"/>
      <c r="H45" s="303"/>
      <c r="I45" s="311">
        <f>D45*E45</f>
        <v>14.000000000000002</v>
      </c>
      <c r="J45" s="309"/>
    </row>
    <row r="46" spans="1:10" x14ac:dyDescent="0.25">
      <c r="A46" s="501"/>
      <c r="B46" s="303"/>
      <c r="C46" s="304">
        <v>8</v>
      </c>
      <c r="D46" s="310">
        <f>0.25+0.25+0.15+0.15+0.05+0.05</f>
        <v>0.90000000000000013</v>
      </c>
      <c r="E46" s="306">
        <f>(2.3/((0.15+0.2)/2))+1</f>
        <v>14.142857142857142</v>
      </c>
      <c r="F46" s="307">
        <f>D46*E46</f>
        <v>12.72857142857143</v>
      </c>
      <c r="G46" s="303"/>
      <c r="H46" s="303"/>
      <c r="I46" s="303"/>
      <c r="J46" s="309"/>
    </row>
    <row r="47" spans="1:10" x14ac:dyDescent="0.25">
      <c r="A47" s="501"/>
      <c r="B47" s="332"/>
      <c r="C47" s="333">
        <v>14</v>
      </c>
      <c r="D47" s="338">
        <f>3.4+0.075+0.075</f>
        <v>3.5500000000000003</v>
      </c>
      <c r="E47" s="334">
        <f>3+2</f>
        <v>5</v>
      </c>
      <c r="F47" s="335"/>
      <c r="G47" s="332"/>
      <c r="H47" s="332"/>
      <c r="I47" s="336">
        <f>(D47*E47)*5</f>
        <v>88.75</v>
      </c>
      <c r="J47" s="337"/>
    </row>
    <row r="48" spans="1:10" x14ac:dyDescent="0.25">
      <c r="A48" s="501"/>
      <c r="B48" s="332"/>
      <c r="C48" s="333">
        <v>8</v>
      </c>
      <c r="D48" s="338">
        <f>0.25+0.25+0.15+0.15+0.05+0.05</f>
        <v>0.90000000000000013</v>
      </c>
      <c r="E48" s="334">
        <f>(3.1/((0.15+0.2)/2))+1</f>
        <v>18.714285714285715</v>
      </c>
      <c r="F48" s="335">
        <f>(D48*E48)*5</f>
        <v>84.214285714285722</v>
      </c>
      <c r="G48" s="332"/>
      <c r="H48" s="332"/>
      <c r="I48" s="332"/>
      <c r="J48" s="337"/>
    </row>
    <row r="49" spans="1:10" x14ac:dyDescent="0.25">
      <c r="A49" s="501"/>
      <c r="B49" s="339"/>
      <c r="C49" s="340">
        <v>14</v>
      </c>
      <c r="D49" s="339">
        <f>1.7+0.075+0.075</f>
        <v>1.8499999999999999</v>
      </c>
      <c r="E49" s="341">
        <f>3+2</f>
        <v>5</v>
      </c>
      <c r="F49" s="342"/>
      <c r="G49" s="339"/>
      <c r="H49" s="339"/>
      <c r="I49" s="343">
        <f>D49*E49</f>
        <v>9.25</v>
      </c>
      <c r="J49" s="344"/>
    </row>
    <row r="50" spans="1:10" ht="15.75" thickBot="1" x14ac:dyDescent="0.3">
      <c r="A50" s="501"/>
      <c r="B50" s="339"/>
      <c r="C50" s="340">
        <v>8</v>
      </c>
      <c r="D50" s="345">
        <f>0.25+0.25+0.15+0.15+0.05+0.05</f>
        <v>0.90000000000000013</v>
      </c>
      <c r="E50" s="341">
        <f>(1.2/((0.15+0.2)/2))+1</f>
        <v>7.8571428571428577</v>
      </c>
      <c r="F50" s="342">
        <f>D50*E50</f>
        <v>7.071428571428573</v>
      </c>
      <c r="G50" s="339"/>
      <c r="H50" s="339"/>
      <c r="I50" s="339"/>
      <c r="J50" s="344"/>
    </row>
    <row r="51" spans="1:10" x14ac:dyDescent="0.25">
      <c r="A51" s="501"/>
      <c r="B51" s="295" t="s">
        <v>720</v>
      </c>
      <c r="C51" s="296">
        <v>14</v>
      </c>
      <c r="D51" s="297">
        <f>4.8+0.075+0.075</f>
        <v>4.95</v>
      </c>
      <c r="E51" s="298">
        <f>6+2</f>
        <v>8</v>
      </c>
      <c r="F51" s="299"/>
      <c r="G51" s="300"/>
      <c r="H51" s="300"/>
      <c r="I51" s="301">
        <f>(D51*E51)*4</f>
        <v>158.4</v>
      </c>
      <c r="J51" s="302"/>
    </row>
    <row r="52" spans="1:10" x14ac:dyDescent="0.25">
      <c r="A52" s="501"/>
      <c r="B52" s="303"/>
      <c r="C52" s="304">
        <v>12</v>
      </c>
      <c r="D52" s="310">
        <f>4.8+0.075+0.075</f>
        <v>4.95</v>
      </c>
      <c r="E52" s="306">
        <v>2</v>
      </c>
      <c r="F52" s="307"/>
      <c r="G52" s="308"/>
      <c r="H52" s="308">
        <f>(D52*E52)*4</f>
        <v>39.6</v>
      </c>
      <c r="I52" s="311"/>
      <c r="J52" s="331"/>
    </row>
    <row r="53" spans="1:10" x14ac:dyDescent="0.25">
      <c r="A53" s="501"/>
      <c r="B53" s="303"/>
      <c r="C53" s="304">
        <v>8</v>
      </c>
      <c r="D53" s="305">
        <f>0.45+0.45+0.1+0.1+0.05+0.05</f>
        <v>1.2000000000000002</v>
      </c>
      <c r="E53" s="306">
        <f>(4.58/((0.125+0.15)/2))+1</f>
        <v>34.309090909090905</v>
      </c>
      <c r="F53" s="307">
        <f>(D53*E53)*4</f>
        <v>164.68363636363637</v>
      </c>
      <c r="G53" s="303"/>
      <c r="H53" s="308"/>
      <c r="I53" s="303"/>
      <c r="J53" s="309"/>
    </row>
    <row r="54" spans="1:10" x14ac:dyDescent="0.25">
      <c r="A54" s="501"/>
      <c r="B54" s="303" t="s">
        <v>586</v>
      </c>
      <c r="C54" s="304">
        <v>14</v>
      </c>
      <c r="D54" s="303">
        <f>3.25+0.075+0.075</f>
        <v>3.4000000000000004</v>
      </c>
      <c r="E54" s="346">
        <f>4+2</f>
        <v>6</v>
      </c>
      <c r="F54" s="307"/>
      <c r="G54" s="303"/>
      <c r="H54" s="303"/>
      <c r="I54" s="311">
        <f>(D54*E54)*6</f>
        <v>122.4</v>
      </c>
      <c r="J54" s="309"/>
    </row>
    <row r="55" spans="1:10" x14ac:dyDescent="0.25">
      <c r="A55" s="501"/>
      <c r="B55" s="303"/>
      <c r="C55" s="304">
        <v>12</v>
      </c>
      <c r="D55" s="303">
        <f>3.25+0.075+0.075</f>
        <v>3.4000000000000004</v>
      </c>
      <c r="E55" s="346">
        <v>2</v>
      </c>
      <c r="F55" s="307"/>
      <c r="G55" s="303"/>
      <c r="H55" s="311">
        <f>(D55*E55)*6</f>
        <v>40.800000000000004</v>
      </c>
      <c r="I55" s="311"/>
      <c r="J55" s="309"/>
    </row>
    <row r="56" spans="1:10" ht="15.75" thickBot="1" x14ac:dyDescent="0.3">
      <c r="A56" s="501"/>
      <c r="B56" s="303"/>
      <c r="C56" s="304">
        <v>8</v>
      </c>
      <c r="D56" s="310">
        <f>0.35+0.35+0.1+0.1+0.05+0.05</f>
        <v>1</v>
      </c>
      <c r="E56" s="346">
        <f>(3.02/((0.125+0.15)/2))+1</f>
        <v>22.963636363636361</v>
      </c>
      <c r="F56" s="307">
        <f>(D56*E56)*6</f>
        <v>137.78181818181815</v>
      </c>
      <c r="G56" s="303"/>
      <c r="H56" s="303"/>
      <c r="I56" s="303"/>
      <c r="J56" s="309"/>
    </row>
    <row r="57" spans="1:10" x14ac:dyDescent="0.25">
      <c r="A57" s="317" t="s">
        <v>355</v>
      </c>
      <c r="B57" s="318"/>
      <c r="C57" s="318"/>
      <c r="D57" s="318"/>
      <c r="E57" s="319" t="s">
        <v>356</v>
      </c>
      <c r="F57" s="109">
        <f>SUM(F36:F56)</f>
        <v>740.13792207792198</v>
      </c>
      <c r="G57" s="109">
        <f>SUM(G36:G56)</f>
        <v>0</v>
      </c>
      <c r="H57" s="109">
        <f>SUM(H36:H56)</f>
        <v>149.80000000000001</v>
      </c>
      <c r="I57" s="109">
        <f>SUM(I36:I56)</f>
        <v>710</v>
      </c>
      <c r="J57" s="110">
        <f>SUM(J36:J56)</f>
        <v>0</v>
      </c>
    </row>
    <row r="58" spans="1:10" x14ac:dyDescent="0.25">
      <c r="A58" s="320" t="s">
        <v>357</v>
      </c>
      <c r="B58" s="321"/>
      <c r="C58" s="321"/>
      <c r="D58" s="321"/>
      <c r="E58" s="322" t="s">
        <v>356</v>
      </c>
      <c r="F58" s="111">
        <f>0.617*F35^2/100</f>
        <v>0.39488000000000001</v>
      </c>
      <c r="G58" s="111">
        <f>0.617*G35^2/100</f>
        <v>0.61699999999999999</v>
      </c>
      <c r="H58" s="111">
        <f>0.617*H35^2/100</f>
        <v>0.88847999999999994</v>
      </c>
      <c r="I58" s="111">
        <f>0.617*I35^2/100</f>
        <v>1.20932</v>
      </c>
      <c r="J58" s="112">
        <f>0.617*J35^2/100</f>
        <v>1.57952</v>
      </c>
    </row>
    <row r="59" spans="1:10" x14ac:dyDescent="0.25">
      <c r="A59" s="320" t="s">
        <v>358</v>
      </c>
      <c r="B59" s="321"/>
      <c r="C59" s="321"/>
      <c r="D59" s="321"/>
      <c r="E59" s="322" t="s">
        <v>356</v>
      </c>
      <c r="F59" s="111">
        <f>F57*F58</f>
        <v>292.26566267012981</v>
      </c>
      <c r="G59" s="111">
        <f t="shared" ref="G59:J59" si="5">G57*G58</f>
        <v>0</v>
      </c>
      <c r="H59" s="111">
        <f t="shared" si="5"/>
        <v>133.09430399999999</v>
      </c>
      <c r="I59" s="111">
        <f t="shared" si="5"/>
        <v>858.61719999999991</v>
      </c>
      <c r="J59" s="112">
        <f t="shared" si="5"/>
        <v>0</v>
      </c>
    </row>
    <row r="60" spans="1:10" ht="15.75" thickBot="1" x14ac:dyDescent="0.3">
      <c r="A60" s="323" t="s">
        <v>359</v>
      </c>
      <c r="B60" s="324"/>
      <c r="C60" s="324"/>
      <c r="D60" s="324"/>
      <c r="E60" s="325" t="s">
        <v>356</v>
      </c>
      <c r="F60" s="503">
        <f>SUM(F59:J59)</f>
        <v>1283.9771666701297</v>
      </c>
      <c r="G60" s="503"/>
      <c r="H60" s="326" t="s">
        <v>186</v>
      </c>
      <c r="I60" s="326"/>
      <c r="J60" s="327"/>
    </row>
    <row r="62" spans="1:10" ht="15.75" thickBot="1" x14ac:dyDescent="0.3">
      <c r="A62" s="108" t="s">
        <v>593</v>
      </c>
    </row>
    <row r="63" spans="1:10" x14ac:dyDescent="0.25">
      <c r="A63" s="493" t="s">
        <v>345</v>
      </c>
      <c r="B63" s="495" t="s">
        <v>346</v>
      </c>
      <c r="C63" s="288" t="s">
        <v>347</v>
      </c>
      <c r="D63" s="289" t="s">
        <v>348</v>
      </c>
      <c r="E63" s="288" t="s">
        <v>349</v>
      </c>
      <c r="F63" s="497" t="s">
        <v>350</v>
      </c>
      <c r="G63" s="498"/>
      <c r="H63" s="498"/>
      <c r="I63" s="498"/>
      <c r="J63" s="499"/>
    </row>
    <row r="64" spans="1:10" ht="15.75" thickBot="1" x14ac:dyDescent="0.3">
      <c r="A64" s="494"/>
      <c r="B64" s="496"/>
      <c r="C64" s="290" t="s">
        <v>351</v>
      </c>
      <c r="D64" s="291" t="s">
        <v>352</v>
      </c>
      <c r="E64" s="290" t="s">
        <v>353</v>
      </c>
      <c r="F64" s="292">
        <v>8</v>
      </c>
      <c r="G64" s="293">
        <v>10</v>
      </c>
      <c r="H64" s="293">
        <v>12</v>
      </c>
      <c r="I64" s="293">
        <v>14</v>
      </c>
      <c r="J64" s="294">
        <v>16</v>
      </c>
    </row>
    <row r="65" spans="1:10" x14ac:dyDescent="0.25">
      <c r="A65" s="504" t="s">
        <v>594</v>
      </c>
      <c r="B65" s="295" t="s">
        <v>595</v>
      </c>
      <c r="C65" s="296">
        <v>14</v>
      </c>
      <c r="D65" s="297">
        <f>3.9+1</f>
        <v>4.9000000000000004</v>
      </c>
      <c r="E65" s="298">
        <v>8</v>
      </c>
      <c r="F65" s="299"/>
      <c r="G65" s="300"/>
      <c r="H65" s="300"/>
      <c r="I65" s="301">
        <f>(D65*E65)*3</f>
        <v>117.60000000000001</v>
      </c>
      <c r="J65" s="302"/>
    </row>
    <row r="66" spans="1:10" x14ac:dyDescent="0.25">
      <c r="A66" s="505"/>
      <c r="B66" s="303"/>
      <c r="C66" s="304">
        <v>8</v>
      </c>
      <c r="D66" s="305">
        <f>0.55+0.55+0.45+0.45+0.05+0.05</f>
        <v>2.0999999999999996</v>
      </c>
      <c r="E66" s="306">
        <f>(3.9/0.2)+1</f>
        <v>20.5</v>
      </c>
      <c r="F66" s="307">
        <f>(D66*E66)*3</f>
        <v>129.14999999999998</v>
      </c>
      <c r="G66" s="303"/>
      <c r="H66" s="308"/>
      <c r="I66" s="303"/>
      <c r="J66" s="309"/>
    </row>
    <row r="67" spans="1:10" x14ac:dyDescent="0.25">
      <c r="A67" s="505"/>
      <c r="B67" s="303" t="s">
        <v>596</v>
      </c>
      <c r="C67" s="304">
        <v>14</v>
      </c>
      <c r="D67" s="310">
        <f>3.9+1</f>
        <v>4.9000000000000004</v>
      </c>
      <c r="E67" s="306">
        <v>7</v>
      </c>
      <c r="F67" s="307"/>
      <c r="G67" s="303"/>
      <c r="H67" s="303"/>
      <c r="I67" s="311">
        <f>D67*E67</f>
        <v>34.300000000000004</v>
      </c>
      <c r="J67" s="309"/>
    </row>
    <row r="68" spans="1:10" x14ac:dyDescent="0.25">
      <c r="A68" s="505"/>
      <c r="B68" s="303"/>
      <c r="C68" s="304">
        <v>8</v>
      </c>
      <c r="D68" s="303">
        <f>0.3+0.2+0.2+0.1+0.1</f>
        <v>0.89999999999999991</v>
      </c>
      <c r="E68" s="306">
        <f>(3.9/0.2)+1</f>
        <v>20.5</v>
      </c>
      <c r="F68" s="307">
        <f>D68*E68</f>
        <v>18.45</v>
      </c>
      <c r="G68" s="303"/>
      <c r="H68" s="303"/>
      <c r="I68" s="303"/>
      <c r="J68" s="309"/>
    </row>
    <row r="69" spans="1:10" x14ac:dyDescent="0.25">
      <c r="A69" s="505"/>
      <c r="B69" s="303" t="s">
        <v>597</v>
      </c>
      <c r="C69" s="304">
        <v>14</v>
      </c>
      <c r="D69" s="310">
        <f>3.9+1</f>
        <v>4.9000000000000004</v>
      </c>
      <c r="E69" s="306">
        <v>6</v>
      </c>
      <c r="F69" s="307"/>
      <c r="G69" s="303"/>
      <c r="H69" s="303"/>
      <c r="I69" s="311">
        <f>(D69*E69)*6</f>
        <v>176.4</v>
      </c>
      <c r="J69" s="309"/>
    </row>
    <row r="70" spans="1:10" x14ac:dyDescent="0.25">
      <c r="A70" s="505"/>
      <c r="B70" s="312"/>
      <c r="C70" s="304">
        <v>8</v>
      </c>
      <c r="D70" s="310">
        <f>0.15+0.15+0.425+0.425+0.05+0.05</f>
        <v>1.25</v>
      </c>
      <c r="E70" s="306">
        <f>(3.9/0.2)+1</f>
        <v>20.5</v>
      </c>
      <c r="F70" s="307">
        <f>(D70*E70)*6</f>
        <v>153.75</v>
      </c>
      <c r="G70" s="303"/>
      <c r="H70" s="303"/>
      <c r="I70" s="303"/>
      <c r="J70" s="309"/>
    </row>
    <row r="71" spans="1:10" x14ac:dyDescent="0.25">
      <c r="A71" s="505"/>
      <c r="B71" s="303" t="s">
        <v>598</v>
      </c>
      <c r="C71" s="304">
        <v>14</v>
      </c>
      <c r="D71" s="310">
        <f>3.9+1</f>
        <v>4.9000000000000004</v>
      </c>
      <c r="E71" s="306">
        <v>6</v>
      </c>
      <c r="F71" s="307"/>
      <c r="G71" s="303"/>
      <c r="H71" s="303"/>
      <c r="I71" s="311">
        <f>(D71*E71)*2</f>
        <v>58.800000000000004</v>
      </c>
      <c r="J71" s="309"/>
    </row>
    <row r="72" spans="1:10" ht="15.75" thickBot="1" x14ac:dyDescent="0.3">
      <c r="A72" s="505"/>
      <c r="B72" s="312"/>
      <c r="C72" s="304">
        <v>8</v>
      </c>
      <c r="D72" s="310">
        <f>0.18+0.18+0.15+0.15+0.05+0.05</f>
        <v>0.76000000000000012</v>
      </c>
      <c r="E72" s="306">
        <f>(3.9/0.2)+1</f>
        <v>20.5</v>
      </c>
      <c r="F72" s="307">
        <f>(D72*E72)*2</f>
        <v>31.160000000000004</v>
      </c>
      <c r="G72" s="303"/>
      <c r="H72" s="303"/>
      <c r="I72" s="303"/>
      <c r="J72" s="309"/>
    </row>
    <row r="73" spans="1:10" x14ac:dyDescent="0.25">
      <c r="A73" s="317" t="s">
        <v>355</v>
      </c>
      <c r="B73" s="318"/>
      <c r="C73" s="318"/>
      <c r="D73" s="318"/>
      <c r="E73" s="319" t="s">
        <v>356</v>
      </c>
      <c r="F73" s="109">
        <f>SUM(F65:F72)</f>
        <v>332.51</v>
      </c>
      <c r="G73" s="109">
        <f>SUM(G65:G72)</f>
        <v>0</v>
      </c>
      <c r="H73" s="109">
        <f>SUM(H65:H72)</f>
        <v>0</v>
      </c>
      <c r="I73" s="109">
        <f>SUM(I65:I72)</f>
        <v>387.1</v>
      </c>
      <c r="J73" s="110">
        <f>SUM(J65:J72)</f>
        <v>0</v>
      </c>
    </row>
    <row r="74" spans="1:10" x14ac:dyDescent="0.25">
      <c r="A74" s="320" t="s">
        <v>357</v>
      </c>
      <c r="B74" s="321"/>
      <c r="C74" s="321"/>
      <c r="D74" s="321"/>
      <c r="E74" s="322" t="s">
        <v>356</v>
      </c>
      <c r="F74" s="111">
        <f>0.617*F64^2/100</f>
        <v>0.39488000000000001</v>
      </c>
      <c r="G74" s="111">
        <f>0.617*G64^2/100</f>
        <v>0.61699999999999999</v>
      </c>
      <c r="H74" s="111">
        <f>0.617*H64^2/100</f>
        <v>0.88847999999999994</v>
      </c>
      <c r="I74" s="111">
        <f>0.617*I64^2/100</f>
        <v>1.20932</v>
      </c>
      <c r="J74" s="112">
        <f>0.617*J64^2/100</f>
        <v>1.57952</v>
      </c>
    </row>
    <row r="75" spans="1:10" x14ac:dyDescent="0.25">
      <c r="A75" s="320" t="s">
        <v>358</v>
      </c>
      <c r="B75" s="321"/>
      <c r="C75" s="321"/>
      <c r="D75" s="321"/>
      <c r="E75" s="322" t="s">
        <v>356</v>
      </c>
      <c r="F75" s="111">
        <f>F73*F74</f>
        <v>131.30154880000001</v>
      </c>
      <c r="G75" s="111">
        <f t="shared" ref="G75:J75" si="6">G73*G74</f>
        <v>0</v>
      </c>
      <c r="H75" s="111">
        <f t="shared" si="6"/>
        <v>0</v>
      </c>
      <c r="I75" s="111">
        <f t="shared" si="6"/>
        <v>468.12777199999999</v>
      </c>
      <c r="J75" s="112">
        <f t="shared" si="6"/>
        <v>0</v>
      </c>
    </row>
    <row r="76" spans="1:10" ht="15.75" thickBot="1" x14ac:dyDescent="0.3">
      <c r="A76" s="323" t="s">
        <v>359</v>
      </c>
      <c r="B76" s="324"/>
      <c r="C76" s="324"/>
      <c r="D76" s="324"/>
      <c r="E76" s="325" t="s">
        <v>356</v>
      </c>
      <c r="F76" s="503">
        <f>SUM(F75:J75)</f>
        <v>599.42932080000003</v>
      </c>
      <c r="G76" s="503"/>
      <c r="H76" s="326" t="s">
        <v>186</v>
      </c>
      <c r="I76" s="326"/>
      <c r="J76" s="327"/>
    </row>
    <row r="78" spans="1:10" ht="15.75" thickBot="1" x14ac:dyDescent="0.3">
      <c r="A78" s="108" t="s">
        <v>465</v>
      </c>
    </row>
    <row r="79" spans="1:10" x14ac:dyDescent="0.25">
      <c r="A79" s="493" t="s">
        <v>345</v>
      </c>
      <c r="B79" s="495" t="s">
        <v>346</v>
      </c>
      <c r="C79" s="288" t="s">
        <v>347</v>
      </c>
      <c r="D79" s="289" t="s">
        <v>348</v>
      </c>
      <c r="E79" s="288" t="s">
        <v>349</v>
      </c>
      <c r="F79" s="497" t="s">
        <v>350</v>
      </c>
      <c r="G79" s="498"/>
      <c r="H79" s="498"/>
      <c r="I79" s="498"/>
      <c r="J79" s="499"/>
    </row>
    <row r="80" spans="1:10" ht="15.75" thickBot="1" x14ac:dyDescent="0.3">
      <c r="A80" s="494"/>
      <c r="B80" s="496"/>
      <c r="C80" s="290" t="s">
        <v>351</v>
      </c>
      <c r="D80" s="291" t="s">
        <v>352</v>
      </c>
      <c r="E80" s="290" t="s">
        <v>353</v>
      </c>
      <c r="F80" s="292">
        <v>8</v>
      </c>
      <c r="G80" s="293">
        <v>10</v>
      </c>
      <c r="H80" s="293">
        <v>12</v>
      </c>
      <c r="I80" s="293">
        <v>14</v>
      </c>
      <c r="J80" s="294">
        <v>16</v>
      </c>
    </row>
    <row r="81" spans="1:10" x14ac:dyDescent="0.25">
      <c r="A81" s="500" t="s">
        <v>466</v>
      </c>
      <c r="B81" s="295">
        <v>1</v>
      </c>
      <c r="C81" s="296">
        <v>14</v>
      </c>
      <c r="D81" s="297">
        <f>5.25+(3*4)+3.5</f>
        <v>20.75</v>
      </c>
      <c r="E81" s="298">
        <v>5</v>
      </c>
      <c r="F81" s="299"/>
      <c r="G81" s="300"/>
      <c r="H81" s="300"/>
      <c r="I81" s="301">
        <f>(D81*E81)</f>
        <v>103.75</v>
      </c>
      <c r="J81" s="302"/>
    </row>
    <row r="82" spans="1:10" x14ac:dyDescent="0.25">
      <c r="A82" s="501"/>
      <c r="B82" s="303">
        <f t="shared" ref="B82:B85" si="7">B81+1</f>
        <v>2</v>
      </c>
      <c r="C82" s="304">
        <v>8</v>
      </c>
      <c r="D82" s="305">
        <f>0.2+0.2+0.15+0.15+0.05+0.05</f>
        <v>0.80000000000000016</v>
      </c>
      <c r="E82" s="306">
        <f>(D81/0.2)+1</f>
        <v>104.75</v>
      </c>
      <c r="F82" s="307">
        <f>(D82*E82)</f>
        <v>83.800000000000011</v>
      </c>
      <c r="G82" s="303"/>
      <c r="H82" s="308"/>
      <c r="I82" s="303"/>
      <c r="J82" s="309"/>
    </row>
    <row r="83" spans="1:10" x14ac:dyDescent="0.25">
      <c r="A83" s="501"/>
      <c r="B83" s="303">
        <f t="shared" si="7"/>
        <v>3</v>
      </c>
      <c r="C83" s="304"/>
      <c r="D83" s="303"/>
      <c r="E83" s="306"/>
      <c r="F83" s="307"/>
      <c r="G83" s="303"/>
      <c r="H83" s="303"/>
      <c r="I83" s="303"/>
      <c r="J83" s="309"/>
    </row>
    <row r="84" spans="1:10" x14ac:dyDescent="0.25">
      <c r="A84" s="501"/>
      <c r="B84" s="303">
        <f t="shared" si="7"/>
        <v>4</v>
      </c>
      <c r="C84" s="304"/>
      <c r="D84" s="303"/>
      <c r="E84" s="306"/>
      <c r="F84" s="307"/>
      <c r="G84" s="303"/>
      <c r="H84" s="303"/>
      <c r="I84" s="303"/>
      <c r="J84" s="309"/>
    </row>
    <row r="85" spans="1:10" x14ac:dyDescent="0.25">
      <c r="A85" s="501"/>
      <c r="B85" s="303">
        <f t="shared" si="7"/>
        <v>5</v>
      </c>
      <c r="C85" s="304"/>
      <c r="D85" s="303"/>
      <c r="E85" s="306"/>
      <c r="F85" s="307"/>
      <c r="G85" s="303"/>
      <c r="H85" s="303"/>
      <c r="I85" s="303"/>
      <c r="J85" s="309"/>
    </row>
    <row r="86" spans="1:10" ht="15.75" thickBot="1" x14ac:dyDescent="0.3">
      <c r="A86" s="502"/>
      <c r="B86" s="292"/>
      <c r="C86" s="328"/>
      <c r="D86" s="292"/>
      <c r="E86" s="328"/>
      <c r="F86" s="329"/>
      <c r="G86" s="292"/>
      <c r="H86" s="292"/>
      <c r="I86" s="292"/>
      <c r="J86" s="330"/>
    </row>
    <row r="87" spans="1:10" x14ac:dyDescent="0.25">
      <c r="A87" s="317" t="s">
        <v>355</v>
      </c>
      <c r="B87" s="318"/>
      <c r="C87" s="318"/>
      <c r="D87" s="318"/>
      <c r="E87" s="319" t="s">
        <v>356</v>
      </c>
      <c r="F87" s="109">
        <f>SUM(F81:F86)</f>
        <v>83.800000000000011</v>
      </c>
      <c r="G87" s="109">
        <f>SUM(G81:G86)</f>
        <v>0</v>
      </c>
      <c r="H87" s="109">
        <f>SUM(H81:H86)</f>
        <v>0</v>
      </c>
      <c r="I87" s="109">
        <f>SUM(I81:I86)</f>
        <v>103.75</v>
      </c>
      <c r="J87" s="110">
        <f>SUM(J81:J86)</f>
        <v>0</v>
      </c>
    </row>
    <row r="88" spans="1:10" x14ac:dyDescent="0.25">
      <c r="A88" s="320" t="s">
        <v>357</v>
      </c>
      <c r="B88" s="321"/>
      <c r="C88" s="321"/>
      <c r="D88" s="321"/>
      <c r="E88" s="322" t="s">
        <v>356</v>
      </c>
      <c r="F88" s="111">
        <f>0.617*F80^2/100</f>
        <v>0.39488000000000001</v>
      </c>
      <c r="G88" s="111">
        <f>0.617*G80^2/100</f>
        <v>0.61699999999999999</v>
      </c>
      <c r="H88" s="111">
        <f>0.617*H80^2/100</f>
        <v>0.88847999999999994</v>
      </c>
      <c r="I88" s="111">
        <f>0.617*I80^2/100</f>
        <v>1.20932</v>
      </c>
      <c r="J88" s="112">
        <f>0.617*J80^2/100</f>
        <v>1.57952</v>
      </c>
    </row>
    <row r="89" spans="1:10" x14ac:dyDescent="0.25">
      <c r="A89" s="320" t="s">
        <v>358</v>
      </c>
      <c r="B89" s="321"/>
      <c r="C89" s="321"/>
      <c r="D89" s="321"/>
      <c r="E89" s="322" t="s">
        <v>356</v>
      </c>
      <c r="F89" s="111">
        <f>F87*F88</f>
        <v>33.090944000000007</v>
      </c>
      <c r="G89" s="111">
        <f t="shared" ref="G89:J89" si="8">G87*G88</f>
        <v>0</v>
      </c>
      <c r="H89" s="111">
        <f t="shared" si="8"/>
        <v>0</v>
      </c>
      <c r="I89" s="111">
        <f t="shared" si="8"/>
        <v>125.46695</v>
      </c>
      <c r="J89" s="112">
        <f t="shared" si="8"/>
        <v>0</v>
      </c>
    </row>
    <row r="90" spans="1:10" ht="15.75" thickBot="1" x14ac:dyDescent="0.3">
      <c r="A90" s="323" t="s">
        <v>359</v>
      </c>
      <c r="B90" s="324"/>
      <c r="C90" s="324"/>
      <c r="D90" s="324"/>
      <c r="E90" s="325" t="s">
        <v>356</v>
      </c>
      <c r="F90" s="503">
        <f>SUM(F89:J89)</f>
        <v>158.557894</v>
      </c>
      <c r="G90" s="503"/>
      <c r="H90" s="326" t="s">
        <v>186</v>
      </c>
      <c r="I90" s="326"/>
      <c r="J90" s="327"/>
    </row>
    <row r="92" spans="1:10" ht="15.75" thickBot="1" x14ac:dyDescent="0.3">
      <c r="A92" s="108" t="s">
        <v>467</v>
      </c>
    </row>
    <row r="93" spans="1:10" x14ac:dyDescent="0.25">
      <c r="A93" s="493" t="s">
        <v>345</v>
      </c>
      <c r="B93" s="495" t="s">
        <v>346</v>
      </c>
      <c r="C93" s="288" t="s">
        <v>347</v>
      </c>
      <c r="D93" s="289" t="s">
        <v>348</v>
      </c>
      <c r="E93" s="288" t="s">
        <v>349</v>
      </c>
      <c r="F93" s="497" t="s">
        <v>350</v>
      </c>
      <c r="G93" s="498"/>
      <c r="H93" s="498"/>
      <c r="I93" s="498"/>
      <c r="J93" s="499"/>
    </row>
    <row r="94" spans="1:10" ht="15.75" thickBot="1" x14ac:dyDescent="0.3">
      <c r="A94" s="494"/>
      <c r="B94" s="496"/>
      <c r="C94" s="290" t="s">
        <v>351</v>
      </c>
      <c r="D94" s="291" t="s">
        <v>352</v>
      </c>
      <c r="E94" s="290" t="s">
        <v>353</v>
      </c>
      <c r="F94" s="292">
        <v>8</v>
      </c>
      <c r="G94" s="293">
        <v>10</v>
      </c>
      <c r="H94" s="293">
        <v>12</v>
      </c>
      <c r="I94" s="293">
        <v>14</v>
      </c>
      <c r="J94" s="294">
        <v>16</v>
      </c>
    </row>
    <row r="95" spans="1:10" x14ac:dyDescent="0.25">
      <c r="A95" s="504" t="s">
        <v>468</v>
      </c>
      <c r="B95" s="295">
        <v>1</v>
      </c>
      <c r="C95" s="296">
        <v>12</v>
      </c>
      <c r="D95" s="297">
        <f>3.53*4</f>
        <v>14.12</v>
      </c>
      <c r="E95" s="298">
        <v>7</v>
      </c>
      <c r="F95" s="299"/>
      <c r="G95" s="300"/>
      <c r="H95" s="300">
        <f>(D95*E95)</f>
        <v>98.839999999999989</v>
      </c>
      <c r="I95" s="301"/>
      <c r="J95" s="302"/>
    </row>
    <row r="96" spans="1:10" x14ac:dyDescent="0.25">
      <c r="A96" s="505"/>
      <c r="B96" s="303">
        <f t="shared" ref="B96:B99" si="9">B95+1</f>
        <v>2</v>
      </c>
      <c r="C96" s="304">
        <v>8</v>
      </c>
      <c r="D96" s="305">
        <f>0.05+0.05+0.05+0.05+0.05+0.05</f>
        <v>0.3</v>
      </c>
      <c r="E96" s="306">
        <f>((3.53*E95)/0.25)+1</f>
        <v>99.839999999999989</v>
      </c>
      <c r="F96" s="307">
        <f>(D96*E96)</f>
        <v>29.951999999999995</v>
      </c>
      <c r="G96" s="303"/>
      <c r="H96" s="308"/>
      <c r="I96" s="303"/>
      <c r="J96" s="309"/>
    </row>
    <row r="97" spans="1:10" x14ac:dyDescent="0.25">
      <c r="A97" s="505"/>
      <c r="B97" s="303">
        <f t="shared" si="9"/>
        <v>3</v>
      </c>
      <c r="C97" s="304"/>
      <c r="D97" s="303"/>
      <c r="E97" s="306"/>
      <c r="F97" s="307"/>
      <c r="G97" s="303"/>
      <c r="H97" s="303"/>
      <c r="I97" s="303"/>
      <c r="J97" s="309"/>
    </row>
    <row r="98" spans="1:10" x14ac:dyDescent="0.25">
      <c r="A98" s="505"/>
      <c r="B98" s="303">
        <f t="shared" si="9"/>
        <v>4</v>
      </c>
      <c r="C98" s="304"/>
      <c r="D98" s="303"/>
      <c r="E98" s="306"/>
      <c r="F98" s="307"/>
      <c r="G98" s="303"/>
      <c r="H98" s="303"/>
      <c r="I98" s="303"/>
      <c r="J98" s="309"/>
    </row>
    <row r="99" spans="1:10" x14ac:dyDescent="0.25">
      <c r="A99" s="505"/>
      <c r="B99" s="303">
        <f t="shared" si="9"/>
        <v>5</v>
      </c>
      <c r="C99" s="304"/>
      <c r="D99" s="303"/>
      <c r="E99" s="306"/>
      <c r="F99" s="307"/>
      <c r="G99" s="303"/>
      <c r="H99" s="303"/>
      <c r="I99" s="303"/>
      <c r="J99" s="309"/>
    </row>
    <row r="100" spans="1:10" ht="15.75" thickBot="1" x14ac:dyDescent="0.3">
      <c r="A100" s="506"/>
      <c r="B100" s="292"/>
      <c r="C100" s="328"/>
      <c r="D100" s="292"/>
      <c r="E100" s="328"/>
      <c r="F100" s="329"/>
      <c r="G100" s="292"/>
      <c r="H100" s="292"/>
      <c r="I100" s="292"/>
      <c r="J100" s="330"/>
    </row>
    <row r="101" spans="1:10" x14ac:dyDescent="0.25">
      <c r="A101" s="317" t="s">
        <v>355</v>
      </c>
      <c r="B101" s="318"/>
      <c r="C101" s="318"/>
      <c r="D101" s="318"/>
      <c r="E101" s="319" t="s">
        <v>356</v>
      </c>
      <c r="F101" s="109">
        <f>SUM(F95:F100)</f>
        <v>29.951999999999995</v>
      </c>
      <c r="G101" s="109">
        <f>SUM(G95:G100)</f>
        <v>0</v>
      </c>
      <c r="H101" s="109">
        <f>SUM(H95:H100)</f>
        <v>98.839999999999989</v>
      </c>
      <c r="I101" s="109">
        <f>SUM(I95:I100)</f>
        <v>0</v>
      </c>
      <c r="J101" s="110">
        <f>SUM(J95:J100)</f>
        <v>0</v>
      </c>
    </row>
    <row r="102" spans="1:10" x14ac:dyDescent="0.25">
      <c r="A102" s="320" t="s">
        <v>357</v>
      </c>
      <c r="B102" s="321"/>
      <c r="C102" s="321"/>
      <c r="D102" s="321"/>
      <c r="E102" s="322" t="s">
        <v>356</v>
      </c>
      <c r="F102" s="111">
        <f>0.617*F94^2/100</f>
        <v>0.39488000000000001</v>
      </c>
      <c r="G102" s="111">
        <f>0.617*G94^2/100</f>
        <v>0.61699999999999999</v>
      </c>
      <c r="H102" s="111">
        <f>0.617*H94^2/100</f>
        <v>0.88847999999999994</v>
      </c>
      <c r="I102" s="111">
        <f>0.617*I94^2/100</f>
        <v>1.20932</v>
      </c>
      <c r="J102" s="112">
        <f>0.617*J94^2/100</f>
        <v>1.57952</v>
      </c>
    </row>
    <row r="103" spans="1:10" x14ac:dyDescent="0.25">
      <c r="A103" s="320" t="s">
        <v>358</v>
      </c>
      <c r="B103" s="321"/>
      <c r="C103" s="321"/>
      <c r="D103" s="321"/>
      <c r="E103" s="322" t="s">
        <v>356</v>
      </c>
      <c r="F103" s="111">
        <f>F101*F102</f>
        <v>11.827445759999998</v>
      </c>
      <c r="G103" s="111">
        <f t="shared" ref="G103:J103" si="10">G101*G102</f>
        <v>0</v>
      </c>
      <c r="H103" s="111">
        <f t="shared" si="10"/>
        <v>87.817363199999988</v>
      </c>
      <c r="I103" s="111">
        <f t="shared" si="10"/>
        <v>0</v>
      </c>
      <c r="J103" s="112">
        <f t="shared" si="10"/>
        <v>0</v>
      </c>
    </row>
    <row r="104" spans="1:10" ht="15.75" thickBot="1" x14ac:dyDescent="0.3">
      <c r="A104" s="323" t="s">
        <v>359</v>
      </c>
      <c r="B104" s="324"/>
      <c r="C104" s="324"/>
      <c r="D104" s="324"/>
      <c r="E104" s="325" t="s">
        <v>356</v>
      </c>
      <c r="F104" s="503">
        <f>SUM(F103:J103)</f>
        <v>99.644808959999992</v>
      </c>
      <c r="G104" s="503"/>
      <c r="H104" s="326" t="s">
        <v>186</v>
      </c>
      <c r="I104" s="326"/>
      <c r="J104" s="327"/>
    </row>
    <row r="106" spans="1:10" ht="15.75" thickBot="1" x14ac:dyDescent="0.3">
      <c r="A106" s="108" t="s">
        <v>478</v>
      </c>
    </row>
    <row r="107" spans="1:10" x14ac:dyDescent="0.25">
      <c r="A107" s="493" t="s">
        <v>345</v>
      </c>
      <c r="B107" s="495" t="s">
        <v>346</v>
      </c>
      <c r="C107" s="288" t="s">
        <v>347</v>
      </c>
      <c r="D107" s="289" t="s">
        <v>348</v>
      </c>
      <c r="E107" s="288" t="s">
        <v>349</v>
      </c>
      <c r="F107" s="497" t="s">
        <v>350</v>
      </c>
      <c r="G107" s="498"/>
      <c r="H107" s="498"/>
      <c r="I107" s="498"/>
      <c r="J107" s="499"/>
    </row>
    <row r="108" spans="1:10" ht="15.75" thickBot="1" x14ac:dyDescent="0.3">
      <c r="A108" s="494"/>
      <c r="B108" s="496"/>
      <c r="C108" s="290" t="s">
        <v>351</v>
      </c>
      <c r="D108" s="291" t="s">
        <v>352</v>
      </c>
      <c r="E108" s="290" t="s">
        <v>353</v>
      </c>
      <c r="F108" s="292">
        <v>8</v>
      </c>
      <c r="G108" s="293">
        <v>10</v>
      </c>
      <c r="H108" s="293">
        <v>12</v>
      </c>
      <c r="I108" s="293">
        <v>14</v>
      </c>
      <c r="J108" s="294">
        <v>16</v>
      </c>
    </row>
    <row r="109" spans="1:10" x14ac:dyDescent="0.25">
      <c r="A109" s="500" t="s">
        <v>479</v>
      </c>
      <c r="B109" s="295">
        <v>1</v>
      </c>
      <c r="C109" s="296">
        <v>14</v>
      </c>
      <c r="D109" s="297">
        <f>5.25+(3*4)+3.5</f>
        <v>20.75</v>
      </c>
      <c r="E109" s="298">
        <v>4</v>
      </c>
      <c r="F109" s="299"/>
      <c r="G109" s="300"/>
      <c r="H109" s="300"/>
      <c r="I109" s="301">
        <f>(D109*E109)</f>
        <v>83</v>
      </c>
      <c r="J109" s="302"/>
    </row>
    <row r="110" spans="1:10" x14ac:dyDescent="0.25">
      <c r="A110" s="501"/>
      <c r="B110" s="303">
        <f t="shared" ref="B110:B113" si="11">B109+1</f>
        <v>2</v>
      </c>
      <c r="C110" s="304">
        <v>8</v>
      </c>
      <c r="D110" s="305">
        <f>0.1+0.1+0.05+0.05+0.05+0.05</f>
        <v>0.39999999999999997</v>
      </c>
      <c r="E110" s="306">
        <f>(D109/0.25)+1</f>
        <v>84</v>
      </c>
      <c r="F110" s="307">
        <f>(D110*E110)</f>
        <v>33.599999999999994</v>
      </c>
      <c r="G110" s="303"/>
      <c r="H110" s="308"/>
      <c r="I110" s="303"/>
      <c r="J110" s="309"/>
    </row>
    <row r="111" spans="1:10" x14ac:dyDescent="0.25">
      <c r="A111" s="501"/>
      <c r="B111" s="303">
        <f t="shared" si="11"/>
        <v>3</v>
      </c>
      <c r="C111" s="304"/>
      <c r="D111" s="303"/>
      <c r="E111" s="306"/>
      <c r="F111" s="307"/>
      <c r="G111" s="303"/>
      <c r="H111" s="303"/>
      <c r="I111" s="303"/>
      <c r="J111" s="309"/>
    </row>
    <row r="112" spans="1:10" x14ac:dyDescent="0.25">
      <c r="A112" s="501"/>
      <c r="B112" s="303">
        <f t="shared" si="11"/>
        <v>4</v>
      </c>
      <c r="C112" s="304"/>
      <c r="D112" s="303"/>
      <c r="E112" s="306"/>
      <c r="F112" s="307"/>
      <c r="G112" s="303"/>
      <c r="H112" s="303"/>
      <c r="I112" s="303"/>
      <c r="J112" s="309"/>
    </row>
    <row r="113" spans="1:10" x14ac:dyDescent="0.25">
      <c r="A113" s="501"/>
      <c r="B113" s="303">
        <f t="shared" si="11"/>
        <v>5</v>
      </c>
      <c r="C113" s="304"/>
      <c r="D113" s="303"/>
      <c r="E113" s="306"/>
      <c r="F113" s="307"/>
      <c r="G113" s="303"/>
      <c r="H113" s="303"/>
      <c r="I113" s="303"/>
      <c r="J113" s="309"/>
    </row>
    <row r="114" spans="1:10" ht="15.75" thickBot="1" x14ac:dyDescent="0.3">
      <c r="A114" s="502"/>
      <c r="B114" s="292"/>
      <c r="C114" s="328"/>
      <c r="D114" s="292"/>
      <c r="E114" s="328"/>
      <c r="F114" s="329"/>
      <c r="G114" s="292"/>
      <c r="H114" s="292"/>
      <c r="I114" s="292"/>
      <c r="J114" s="330"/>
    </row>
    <row r="115" spans="1:10" x14ac:dyDescent="0.25">
      <c r="A115" s="317" t="s">
        <v>355</v>
      </c>
      <c r="B115" s="318"/>
      <c r="C115" s="318"/>
      <c r="D115" s="318"/>
      <c r="E115" s="319" t="s">
        <v>356</v>
      </c>
      <c r="F115" s="109">
        <f>SUM(F109:F114)</f>
        <v>33.599999999999994</v>
      </c>
      <c r="G115" s="109">
        <f>SUM(G109:G114)</f>
        <v>0</v>
      </c>
      <c r="H115" s="109">
        <f>SUM(H109:H114)</f>
        <v>0</v>
      </c>
      <c r="I115" s="109">
        <f>SUM(I109:I114)</f>
        <v>83</v>
      </c>
      <c r="J115" s="110">
        <f>SUM(J109:J114)</f>
        <v>0</v>
      </c>
    </row>
    <row r="116" spans="1:10" x14ac:dyDescent="0.25">
      <c r="A116" s="320" t="s">
        <v>357</v>
      </c>
      <c r="B116" s="321"/>
      <c r="C116" s="321"/>
      <c r="D116" s="321"/>
      <c r="E116" s="322" t="s">
        <v>356</v>
      </c>
      <c r="F116" s="111">
        <f>0.617*F108^2/100</f>
        <v>0.39488000000000001</v>
      </c>
      <c r="G116" s="111">
        <f>0.617*G108^2/100</f>
        <v>0.61699999999999999</v>
      </c>
      <c r="H116" s="111">
        <f>0.617*H108^2/100</f>
        <v>0.88847999999999994</v>
      </c>
      <c r="I116" s="111">
        <f>0.617*I108^2/100</f>
        <v>1.20932</v>
      </c>
      <c r="J116" s="112">
        <f>0.617*J108^2/100</f>
        <v>1.57952</v>
      </c>
    </row>
    <row r="117" spans="1:10" x14ac:dyDescent="0.25">
      <c r="A117" s="320" t="s">
        <v>358</v>
      </c>
      <c r="B117" s="321"/>
      <c r="C117" s="321"/>
      <c r="D117" s="321"/>
      <c r="E117" s="322" t="s">
        <v>356</v>
      </c>
      <c r="F117" s="111">
        <f>F115*F116</f>
        <v>13.267967999999998</v>
      </c>
      <c r="G117" s="111">
        <f t="shared" ref="G117:J117" si="12">G115*G116</f>
        <v>0</v>
      </c>
      <c r="H117" s="111">
        <f t="shared" si="12"/>
        <v>0</v>
      </c>
      <c r="I117" s="111">
        <f t="shared" si="12"/>
        <v>100.37356</v>
      </c>
      <c r="J117" s="112">
        <f t="shared" si="12"/>
        <v>0</v>
      </c>
    </row>
    <row r="118" spans="1:10" ht="15.75" thickBot="1" x14ac:dyDescent="0.3">
      <c r="A118" s="323" t="s">
        <v>359</v>
      </c>
      <c r="B118" s="324"/>
      <c r="C118" s="324"/>
      <c r="D118" s="324"/>
      <c r="E118" s="325" t="s">
        <v>356</v>
      </c>
      <c r="F118" s="503">
        <f>SUM(F117:J117)</f>
        <v>113.64152799999999</v>
      </c>
      <c r="G118" s="503"/>
      <c r="H118" s="326" t="s">
        <v>186</v>
      </c>
      <c r="I118" s="326"/>
      <c r="J118" s="327"/>
    </row>
    <row r="120" spans="1:10" ht="15.75" thickBot="1" x14ac:dyDescent="0.3">
      <c r="A120" s="108" t="s">
        <v>740</v>
      </c>
    </row>
    <row r="121" spans="1:10" x14ac:dyDescent="0.25">
      <c r="A121" s="493" t="s">
        <v>345</v>
      </c>
      <c r="B121" s="495" t="s">
        <v>346</v>
      </c>
      <c r="C121" s="288" t="s">
        <v>347</v>
      </c>
      <c r="D121" s="289" t="s">
        <v>348</v>
      </c>
      <c r="E121" s="288" t="s">
        <v>349</v>
      </c>
      <c r="F121" s="497" t="s">
        <v>350</v>
      </c>
      <c r="G121" s="498"/>
      <c r="H121" s="498"/>
      <c r="I121" s="498"/>
      <c r="J121" s="499"/>
    </row>
    <row r="122" spans="1:10" ht="15.75" thickBot="1" x14ac:dyDescent="0.3">
      <c r="A122" s="494"/>
      <c r="B122" s="496"/>
      <c r="C122" s="290" t="s">
        <v>351</v>
      </c>
      <c r="D122" s="291" t="s">
        <v>352</v>
      </c>
      <c r="E122" s="290" t="s">
        <v>353</v>
      </c>
      <c r="F122" s="292">
        <v>8</v>
      </c>
      <c r="G122" s="293">
        <v>10</v>
      </c>
      <c r="H122" s="293">
        <v>12</v>
      </c>
      <c r="I122" s="293">
        <v>14</v>
      </c>
      <c r="J122" s="294">
        <v>16</v>
      </c>
    </row>
    <row r="123" spans="1:10" x14ac:dyDescent="0.25">
      <c r="A123" s="500" t="s">
        <v>741</v>
      </c>
      <c r="B123" s="295">
        <v>1</v>
      </c>
      <c r="C123" s="296">
        <v>14</v>
      </c>
      <c r="D123" s="297">
        <f>2.55+2.55+0.25+0.25+0.05+0.05</f>
        <v>5.6999999999999993</v>
      </c>
      <c r="E123" s="298">
        <f>(2.55/0.125)+1</f>
        <v>21.4</v>
      </c>
      <c r="F123" s="299"/>
      <c r="G123" s="300"/>
      <c r="H123" s="300"/>
      <c r="I123" s="301">
        <f>(D123*E123)</f>
        <v>121.97999999999998</v>
      </c>
      <c r="J123" s="302"/>
    </row>
    <row r="124" spans="1:10" x14ac:dyDescent="0.25">
      <c r="A124" s="501"/>
      <c r="B124" s="303">
        <f t="shared" ref="B124:B127" si="13">B123+1</f>
        <v>2</v>
      </c>
      <c r="C124" s="347">
        <v>14</v>
      </c>
      <c r="D124" s="310">
        <f>2.55+2.55+0.25+0.25+0.05+0.05</f>
        <v>5.6999999999999993</v>
      </c>
      <c r="E124" s="306">
        <f>(2.55/0.125)+1</f>
        <v>21.4</v>
      </c>
      <c r="F124" s="307"/>
      <c r="G124" s="308"/>
      <c r="H124" s="308"/>
      <c r="I124" s="311">
        <f>(D124*E124)</f>
        <v>121.97999999999998</v>
      </c>
      <c r="J124" s="331"/>
    </row>
    <row r="125" spans="1:10" x14ac:dyDescent="0.25">
      <c r="A125" s="501"/>
      <c r="B125" s="303">
        <f t="shared" si="13"/>
        <v>3</v>
      </c>
      <c r="C125" s="304"/>
      <c r="D125" s="303"/>
      <c r="E125" s="306"/>
      <c r="F125" s="307"/>
      <c r="G125" s="303"/>
      <c r="H125" s="303"/>
      <c r="I125" s="303"/>
      <c r="J125" s="309"/>
    </row>
    <row r="126" spans="1:10" x14ac:dyDescent="0.25">
      <c r="A126" s="501"/>
      <c r="B126" s="303">
        <f t="shared" si="13"/>
        <v>4</v>
      </c>
      <c r="C126" s="304"/>
      <c r="D126" s="303"/>
      <c r="E126" s="306"/>
      <c r="F126" s="307"/>
      <c r="G126" s="303"/>
      <c r="H126" s="303"/>
      <c r="I126" s="303"/>
      <c r="J126" s="309"/>
    </row>
    <row r="127" spans="1:10" x14ac:dyDescent="0.25">
      <c r="A127" s="501"/>
      <c r="B127" s="303">
        <f t="shared" si="13"/>
        <v>5</v>
      </c>
      <c r="C127" s="304"/>
      <c r="D127" s="303"/>
      <c r="E127" s="306"/>
      <c r="F127" s="307"/>
      <c r="G127" s="303"/>
      <c r="H127" s="303"/>
      <c r="I127" s="303"/>
      <c r="J127" s="309"/>
    </row>
    <row r="128" spans="1:10" ht="15.75" thickBot="1" x14ac:dyDescent="0.3">
      <c r="A128" s="502"/>
      <c r="B128" s="292"/>
      <c r="C128" s="328"/>
      <c r="D128" s="292"/>
      <c r="E128" s="328"/>
      <c r="F128" s="329"/>
      <c r="G128" s="292"/>
      <c r="H128" s="292"/>
      <c r="I128" s="292"/>
      <c r="J128" s="330"/>
    </row>
    <row r="129" spans="1:10" x14ac:dyDescent="0.25">
      <c r="A129" s="317" t="s">
        <v>355</v>
      </c>
      <c r="B129" s="318"/>
      <c r="C129" s="318"/>
      <c r="D129" s="318"/>
      <c r="E129" s="319" t="s">
        <v>356</v>
      </c>
      <c r="F129" s="109">
        <f>SUM(F123:F128)</f>
        <v>0</v>
      </c>
      <c r="G129" s="109">
        <f>SUM(G123:G128)</f>
        <v>0</v>
      </c>
      <c r="H129" s="109">
        <f>SUM(H123:H128)</f>
        <v>0</v>
      </c>
      <c r="I129" s="109">
        <f>SUM(I123:I128)</f>
        <v>243.95999999999995</v>
      </c>
      <c r="J129" s="110">
        <f>SUM(J123:J128)</f>
        <v>0</v>
      </c>
    </row>
    <row r="130" spans="1:10" x14ac:dyDescent="0.25">
      <c r="A130" s="320" t="s">
        <v>357</v>
      </c>
      <c r="B130" s="321"/>
      <c r="C130" s="321"/>
      <c r="D130" s="321"/>
      <c r="E130" s="322" t="s">
        <v>356</v>
      </c>
      <c r="F130" s="111">
        <f>0.617*F122^2/100</f>
        <v>0.39488000000000001</v>
      </c>
      <c r="G130" s="111">
        <f>0.617*G122^2/100</f>
        <v>0.61699999999999999</v>
      </c>
      <c r="H130" s="111">
        <f>0.617*H122^2/100</f>
        <v>0.88847999999999994</v>
      </c>
      <c r="I130" s="111">
        <f>0.617*I122^2/100</f>
        <v>1.20932</v>
      </c>
      <c r="J130" s="112">
        <f>0.617*J122^2/100</f>
        <v>1.57952</v>
      </c>
    </row>
    <row r="131" spans="1:10" x14ac:dyDescent="0.25">
      <c r="A131" s="320" t="s">
        <v>358</v>
      </c>
      <c r="B131" s="321"/>
      <c r="C131" s="321"/>
      <c r="D131" s="321"/>
      <c r="E131" s="322" t="s">
        <v>356</v>
      </c>
      <c r="F131" s="111">
        <f>F129*F130</f>
        <v>0</v>
      </c>
      <c r="G131" s="111">
        <f t="shared" ref="G131:J131" si="14">G129*G130</f>
        <v>0</v>
      </c>
      <c r="H131" s="111">
        <f t="shared" si="14"/>
        <v>0</v>
      </c>
      <c r="I131" s="111">
        <f t="shared" si="14"/>
        <v>295.02570719999994</v>
      </c>
      <c r="J131" s="112">
        <f t="shared" si="14"/>
        <v>0</v>
      </c>
    </row>
    <row r="132" spans="1:10" ht="15.75" thickBot="1" x14ac:dyDescent="0.3">
      <c r="A132" s="323" t="s">
        <v>359</v>
      </c>
      <c r="B132" s="324"/>
      <c r="C132" s="324"/>
      <c r="D132" s="324"/>
      <c r="E132" s="325" t="s">
        <v>356</v>
      </c>
      <c r="F132" s="503">
        <f>SUM(F131:J131)</f>
        <v>295.02570719999994</v>
      </c>
      <c r="G132" s="503"/>
      <c r="H132" s="326" t="s">
        <v>186</v>
      </c>
      <c r="I132" s="326"/>
      <c r="J132" s="327"/>
    </row>
    <row r="134" spans="1:10" ht="15.75" thickBot="1" x14ac:dyDescent="0.3">
      <c r="A134" s="108" t="s">
        <v>740</v>
      </c>
    </row>
    <row r="135" spans="1:10" x14ac:dyDescent="0.25">
      <c r="A135" s="493" t="s">
        <v>345</v>
      </c>
      <c r="B135" s="495" t="s">
        <v>346</v>
      </c>
      <c r="C135" s="288" t="s">
        <v>347</v>
      </c>
      <c r="D135" s="289" t="s">
        <v>348</v>
      </c>
      <c r="E135" s="288" t="s">
        <v>349</v>
      </c>
      <c r="F135" s="497" t="s">
        <v>350</v>
      </c>
      <c r="G135" s="498"/>
      <c r="H135" s="498"/>
      <c r="I135" s="498"/>
      <c r="J135" s="499"/>
    </row>
    <row r="136" spans="1:10" ht="15.75" thickBot="1" x14ac:dyDescent="0.3">
      <c r="A136" s="494"/>
      <c r="B136" s="496"/>
      <c r="C136" s="290" t="s">
        <v>351</v>
      </c>
      <c r="D136" s="291" t="s">
        <v>352</v>
      </c>
      <c r="E136" s="290" t="s">
        <v>353</v>
      </c>
      <c r="F136" s="292">
        <v>8</v>
      </c>
      <c r="G136" s="293">
        <v>10</v>
      </c>
      <c r="H136" s="293">
        <v>12</v>
      </c>
      <c r="I136" s="293">
        <v>14</v>
      </c>
      <c r="J136" s="294">
        <v>16</v>
      </c>
    </row>
    <row r="137" spans="1:10" x14ac:dyDescent="0.25">
      <c r="A137" s="500" t="s">
        <v>741</v>
      </c>
      <c r="B137" s="295">
        <v>1</v>
      </c>
      <c r="C137" s="296">
        <v>14</v>
      </c>
      <c r="D137" s="297">
        <f>0.075+0.6+0.85+0.075</f>
        <v>1.5999999999999999</v>
      </c>
      <c r="E137" s="298">
        <v>8</v>
      </c>
      <c r="F137" s="299"/>
      <c r="G137" s="300"/>
      <c r="H137" s="300"/>
      <c r="I137" s="301">
        <f>(D137*E137)*4</f>
        <v>51.199999999999996</v>
      </c>
      <c r="J137" s="302"/>
    </row>
    <row r="138" spans="1:10" x14ac:dyDescent="0.25">
      <c r="A138" s="501"/>
      <c r="B138" s="303">
        <f t="shared" ref="B138:B141" si="15">B137+1</f>
        <v>2</v>
      </c>
      <c r="C138" s="347">
        <v>8</v>
      </c>
      <c r="D138" s="310">
        <f>(0.25*4)+0.05+0.05</f>
        <v>1.1000000000000001</v>
      </c>
      <c r="E138" s="306">
        <f>0.57/0.15</f>
        <v>3.8</v>
      </c>
      <c r="F138" s="307"/>
      <c r="G138" s="308"/>
      <c r="H138" s="308"/>
      <c r="I138" s="311">
        <f>(D138*E138)*4</f>
        <v>16.72</v>
      </c>
      <c r="J138" s="331"/>
    </row>
    <row r="139" spans="1:10" x14ac:dyDescent="0.25">
      <c r="A139" s="501"/>
      <c r="B139" s="303">
        <f t="shared" si="15"/>
        <v>3</v>
      </c>
      <c r="C139" s="304"/>
      <c r="D139" s="303"/>
      <c r="E139" s="306"/>
      <c r="F139" s="307"/>
      <c r="G139" s="303"/>
      <c r="H139" s="303"/>
      <c r="I139" s="303"/>
      <c r="J139" s="309"/>
    </row>
    <row r="140" spans="1:10" x14ac:dyDescent="0.25">
      <c r="A140" s="501"/>
      <c r="B140" s="303">
        <f t="shared" si="15"/>
        <v>4</v>
      </c>
      <c r="C140" s="304"/>
      <c r="D140" s="303"/>
      <c r="E140" s="306"/>
      <c r="F140" s="307"/>
      <c r="G140" s="303"/>
      <c r="H140" s="303"/>
      <c r="I140" s="303"/>
      <c r="J140" s="309"/>
    </row>
    <row r="141" spans="1:10" x14ac:dyDescent="0.25">
      <c r="A141" s="501"/>
      <c r="B141" s="303">
        <f t="shared" si="15"/>
        <v>5</v>
      </c>
      <c r="C141" s="304"/>
      <c r="D141" s="303"/>
      <c r="E141" s="306"/>
      <c r="F141" s="307"/>
      <c r="G141" s="303"/>
      <c r="H141" s="303"/>
      <c r="I141" s="303"/>
      <c r="J141" s="309"/>
    </row>
    <row r="142" spans="1:10" ht="15.75" thickBot="1" x14ac:dyDescent="0.3">
      <c r="A142" s="502"/>
      <c r="B142" s="292"/>
      <c r="C142" s="328"/>
      <c r="D142" s="292"/>
      <c r="E142" s="328"/>
      <c r="F142" s="329"/>
      <c r="G142" s="292"/>
      <c r="H142" s="292"/>
      <c r="I142" s="292"/>
      <c r="J142" s="330"/>
    </row>
    <row r="143" spans="1:10" x14ac:dyDescent="0.25">
      <c r="A143" s="317" t="s">
        <v>355</v>
      </c>
      <c r="B143" s="318"/>
      <c r="C143" s="318"/>
      <c r="D143" s="318"/>
      <c r="E143" s="319" t="s">
        <v>356</v>
      </c>
      <c r="F143" s="109">
        <f>SUM(F137:F142)</f>
        <v>0</v>
      </c>
      <c r="G143" s="109">
        <f>SUM(G137:G142)</f>
        <v>0</v>
      </c>
      <c r="H143" s="109">
        <f>SUM(H137:H142)</f>
        <v>0</v>
      </c>
      <c r="I143" s="109">
        <f>SUM(I137:I142)</f>
        <v>67.919999999999987</v>
      </c>
      <c r="J143" s="110">
        <f>SUM(J137:J142)</f>
        <v>0</v>
      </c>
    </row>
    <row r="144" spans="1:10" x14ac:dyDescent="0.25">
      <c r="A144" s="320" t="s">
        <v>357</v>
      </c>
      <c r="B144" s="321"/>
      <c r="C144" s="321"/>
      <c r="D144" s="321"/>
      <c r="E144" s="322" t="s">
        <v>356</v>
      </c>
      <c r="F144" s="111">
        <f>0.617*F136^2/100</f>
        <v>0.39488000000000001</v>
      </c>
      <c r="G144" s="111">
        <f>0.617*G136^2/100</f>
        <v>0.61699999999999999</v>
      </c>
      <c r="H144" s="111">
        <f>0.617*H136^2/100</f>
        <v>0.88847999999999994</v>
      </c>
      <c r="I144" s="111">
        <f>0.617*I136^2/100</f>
        <v>1.20932</v>
      </c>
      <c r="J144" s="112">
        <f>0.617*J136^2/100</f>
        <v>1.57952</v>
      </c>
    </row>
    <row r="145" spans="1:10" x14ac:dyDescent="0.25">
      <c r="A145" s="320" t="s">
        <v>358</v>
      </c>
      <c r="B145" s="321"/>
      <c r="C145" s="321"/>
      <c r="D145" s="321"/>
      <c r="E145" s="322" t="s">
        <v>356</v>
      </c>
      <c r="F145" s="111">
        <f>F143*F144</f>
        <v>0</v>
      </c>
      <c r="G145" s="111">
        <f t="shared" ref="G145:J145" si="16">G143*G144</f>
        <v>0</v>
      </c>
      <c r="H145" s="111">
        <f t="shared" si="16"/>
        <v>0</v>
      </c>
      <c r="I145" s="111">
        <f t="shared" si="16"/>
        <v>82.137014399999984</v>
      </c>
      <c r="J145" s="112">
        <f t="shared" si="16"/>
        <v>0</v>
      </c>
    </row>
    <row r="146" spans="1:10" ht="15.75" thickBot="1" x14ac:dyDescent="0.3">
      <c r="A146" s="323" t="s">
        <v>359</v>
      </c>
      <c r="B146" s="324"/>
      <c r="C146" s="324"/>
      <c r="D146" s="324"/>
      <c r="E146" s="325" t="s">
        <v>356</v>
      </c>
      <c r="F146" s="503">
        <f>SUM(F145:J145)</f>
        <v>82.137014399999984</v>
      </c>
      <c r="G146" s="503"/>
      <c r="H146" s="326" t="s">
        <v>186</v>
      </c>
      <c r="I146" s="326"/>
      <c r="J146" s="327"/>
    </row>
  </sheetData>
  <mergeCells count="45">
    <mergeCell ref="A22:A27"/>
    <mergeCell ref="F31:G31"/>
    <mergeCell ref="A2:A3"/>
    <mergeCell ref="B2:B3"/>
    <mergeCell ref="F2:J2"/>
    <mergeCell ref="A4:A13"/>
    <mergeCell ref="F17:G17"/>
    <mergeCell ref="A20:A21"/>
    <mergeCell ref="B20:B21"/>
    <mergeCell ref="F20:J20"/>
    <mergeCell ref="A79:A80"/>
    <mergeCell ref="B79:B80"/>
    <mergeCell ref="F79:J79"/>
    <mergeCell ref="A81:A86"/>
    <mergeCell ref="F90:G90"/>
    <mergeCell ref="A93:A94"/>
    <mergeCell ref="B93:B94"/>
    <mergeCell ref="F93:J93"/>
    <mergeCell ref="A95:A100"/>
    <mergeCell ref="F104:G104"/>
    <mergeCell ref="A107:A108"/>
    <mergeCell ref="B107:B108"/>
    <mergeCell ref="F107:J107"/>
    <mergeCell ref="A109:A114"/>
    <mergeCell ref="F118:G118"/>
    <mergeCell ref="A34:A35"/>
    <mergeCell ref="B34:B35"/>
    <mergeCell ref="F34:J34"/>
    <mergeCell ref="A36:A56"/>
    <mergeCell ref="F60:G60"/>
    <mergeCell ref="A63:A64"/>
    <mergeCell ref="B63:B64"/>
    <mergeCell ref="F63:J63"/>
    <mergeCell ref="A65:A72"/>
    <mergeCell ref="F76:G76"/>
    <mergeCell ref="A121:A122"/>
    <mergeCell ref="B121:B122"/>
    <mergeCell ref="F121:J121"/>
    <mergeCell ref="A123:A128"/>
    <mergeCell ref="F132:G132"/>
    <mergeCell ref="A135:A136"/>
    <mergeCell ref="B135:B136"/>
    <mergeCell ref="F135:J135"/>
    <mergeCell ref="A137:A142"/>
    <mergeCell ref="F146:G146"/>
  </mergeCells>
  <pageMargins left="0.70866141732283472" right="0.31496062992125984" top="0.74803149606299213" bottom="0.35433070866141736" header="0.31496062992125984" footer="0.31496062992125984"/>
  <pageSetup paperSize="256" scale="94" orientation="portrait" horizontalDpi="4294967293" r:id="rId1"/>
  <rowBreaks count="2" manualBreakCount="2">
    <brk id="60" max="9" man="1"/>
    <brk id="11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59"/>
  <sheetViews>
    <sheetView view="pageBreakPreview" topLeftCell="A752" zoomScaleNormal="100" zoomScaleSheetLayoutView="100" workbookViewId="0">
      <selection activeCell="E1242" sqref="E1242"/>
    </sheetView>
  </sheetViews>
  <sheetFormatPr defaultColWidth="9.140625" defaultRowHeight="16.5" x14ac:dyDescent="0.3"/>
  <cols>
    <col min="1" max="1" width="9.140625" style="136"/>
    <col min="2" max="2" width="22.85546875" style="136" customWidth="1"/>
    <col min="3" max="3" width="7.5703125" style="136" customWidth="1"/>
    <col min="4" max="4" width="9" style="136" customWidth="1"/>
    <col min="5" max="5" width="12.7109375" style="136" customWidth="1"/>
    <col min="6" max="6" width="14.7109375" style="136" customWidth="1"/>
    <col min="7" max="16384" width="9.140625" style="136"/>
  </cols>
  <sheetData>
    <row r="1" spans="1:6" ht="18.75" x14ac:dyDescent="0.3">
      <c r="A1" s="507" t="s">
        <v>121</v>
      </c>
      <c r="B1" s="507"/>
      <c r="C1" s="507"/>
      <c r="D1" s="507"/>
      <c r="E1" s="507"/>
      <c r="F1" s="507"/>
    </row>
    <row r="2" spans="1:6" ht="18.75" x14ac:dyDescent="0.3">
      <c r="A2" s="507" t="s">
        <v>122</v>
      </c>
      <c r="B2" s="507"/>
      <c r="C2" s="507"/>
      <c r="D2" s="507"/>
      <c r="E2" s="507"/>
      <c r="F2" s="507"/>
    </row>
    <row r="4" spans="1:6" ht="17.25" thickBot="1" x14ac:dyDescent="0.35">
      <c r="A4" s="70" t="s">
        <v>310</v>
      </c>
      <c r="B4" s="1" t="s">
        <v>311</v>
      </c>
      <c r="C4" s="2"/>
      <c r="D4" s="2"/>
      <c r="E4" s="2"/>
      <c r="F4" s="2"/>
    </row>
    <row r="5" spans="1:6" ht="16.5" customHeight="1" thickBot="1" x14ac:dyDescent="0.35">
      <c r="A5" s="3" t="s">
        <v>2</v>
      </c>
      <c r="B5" s="4" t="s">
        <v>3</v>
      </c>
      <c r="C5" s="4" t="s">
        <v>0</v>
      </c>
      <c r="D5" s="4" t="s">
        <v>4</v>
      </c>
      <c r="E5" s="4" t="s">
        <v>5</v>
      </c>
      <c r="F5" s="5" t="s">
        <v>6</v>
      </c>
    </row>
    <row r="6" spans="1:6" x14ac:dyDescent="0.3">
      <c r="A6" s="6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</row>
    <row r="7" spans="1:6" x14ac:dyDescent="0.3">
      <c r="A7" s="9" t="s">
        <v>1</v>
      </c>
      <c r="B7" s="10" t="s">
        <v>69</v>
      </c>
      <c r="C7" s="11"/>
      <c r="D7" s="11"/>
      <c r="E7" s="11"/>
      <c r="F7" s="12"/>
    </row>
    <row r="8" spans="1:6" x14ac:dyDescent="0.3">
      <c r="A8" s="13"/>
      <c r="B8" s="14" t="s">
        <v>38</v>
      </c>
      <c r="C8" s="15" t="s">
        <v>7</v>
      </c>
      <c r="D8" s="16">
        <v>13.334</v>
      </c>
      <c r="E8" s="17">
        <f>'HARGA BAHAN'!E4</f>
        <v>125000</v>
      </c>
      <c r="F8" s="18">
        <f>+D8*E8</f>
        <v>1666750</v>
      </c>
    </row>
    <row r="9" spans="1:6" ht="17.25" thickBot="1" x14ac:dyDescent="0.35">
      <c r="A9" s="13"/>
      <c r="B9" s="19" t="s">
        <v>40</v>
      </c>
      <c r="C9" s="20" t="s">
        <v>7</v>
      </c>
      <c r="D9" s="21">
        <v>0.66</v>
      </c>
      <c r="E9" s="22">
        <f>'HARGA BAHAN'!E7</f>
        <v>175000</v>
      </c>
      <c r="F9" s="18">
        <f>+D9*E9</f>
        <v>115500</v>
      </c>
    </row>
    <row r="10" spans="1:6" ht="17.25" thickBot="1" x14ac:dyDescent="0.35">
      <c r="A10" s="27"/>
      <c r="B10" s="28"/>
      <c r="C10" s="29"/>
      <c r="D10" s="30" t="s">
        <v>8</v>
      </c>
      <c r="E10" s="31"/>
      <c r="F10" s="32">
        <f>SUM(F8:F9)</f>
        <v>1782250</v>
      </c>
    </row>
    <row r="11" spans="1:6" x14ac:dyDescent="0.3">
      <c r="A11" s="33" t="s">
        <v>9</v>
      </c>
      <c r="B11" s="34" t="s">
        <v>70</v>
      </c>
      <c r="C11" s="35"/>
      <c r="D11" s="35"/>
      <c r="E11" s="35"/>
      <c r="F11" s="36"/>
    </row>
    <row r="12" spans="1:6" ht="17.25" thickBot="1" x14ac:dyDescent="0.35">
      <c r="A12" s="37"/>
      <c r="B12" s="38"/>
      <c r="C12" s="39"/>
      <c r="D12" s="40"/>
      <c r="E12" s="41"/>
      <c r="F12" s="42">
        <f>+D12*E12</f>
        <v>0</v>
      </c>
    </row>
    <row r="13" spans="1:6" ht="17.25" thickBot="1" x14ac:dyDescent="0.35">
      <c r="A13" s="27"/>
      <c r="B13" s="43"/>
      <c r="C13" s="43"/>
      <c r="D13" s="44" t="s">
        <v>10</v>
      </c>
      <c r="E13" s="43"/>
      <c r="F13" s="32">
        <f>SUM(F12:F12)</f>
        <v>0</v>
      </c>
    </row>
    <row r="14" spans="1:6" x14ac:dyDescent="0.3">
      <c r="A14" s="33" t="s">
        <v>11</v>
      </c>
      <c r="B14" s="34" t="s">
        <v>71</v>
      </c>
      <c r="C14" s="35"/>
      <c r="D14" s="35"/>
      <c r="E14" s="35"/>
      <c r="F14" s="36"/>
    </row>
    <row r="15" spans="1:6" ht="17.25" thickBot="1" x14ac:dyDescent="0.35">
      <c r="A15" s="45"/>
      <c r="B15" s="46"/>
      <c r="C15" s="47"/>
      <c r="D15" s="48"/>
      <c r="E15" s="49"/>
      <c r="F15" s="42">
        <f>+D15*E15</f>
        <v>0</v>
      </c>
    </row>
    <row r="16" spans="1:6" ht="17.25" thickBot="1" x14ac:dyDescent="0.35">
      <c r="A16" s="27"/>
      <c r="B16" s="28"/>
      <c r="C16" s="29"/>
      <c r="D16" s="30" t="s">
        <v>12</v>
      </c>
      <c r="E16" s="31"/>
      <c r="F16" s="32">
        <f>SUM(F15)</f>
        <v>0</v>
      </c>
    </row>
    <row r="17" spans="1:6" x14ac:dyDescent="0.3">
      <c r="A17" s="33" t="s">
        <v>13</v>
      </c>
      <c r="B17" s="34" t="s">
        <v>72</v>
      </c>
      <c r="C17" s="51"/>
      <c r="D17" s="51"/>
      <c r="E17" s="52"/>
      <c r="F17" s="53">
        <f>+F10+F13+F16</f>
        <v>1782250</v>
      </c>
    </row>
    <row r="18" spans="1:6" x14ac:dyDescent="0.3">
      <c r="A18" s="9" t="s">
        <v>15</v>
      </c>
      <c r="B18" s="10" t="s">
        <v>73</v>
      </c>
      <c r="C18" s="54"/>
      <c r="D18" s="54"/>
      <c r="E18" s="55"/>
      <c r="F18" s="56">
        <f>F17*15%</f>
        <v>267337.5</v>
      </c>
    </row>
    <row r="19" spans="1:6" ht="17.25" thickBot="1" x14ac:dyDescent="0.35">
      <c r="A19" s="57" t="s">
        <v>16</v>
      </c>
      <c r="B19" s="58" t="s">
        <v>74</v>
      </c>
      <c r="C19" s="59"/>
      <c r="D19" s="59"/>
      <c r="E19" s="60"/>
      <c r="F19" s="61">
        <f>SUM(F17:F18)</f>
        <v>2049587.5</v>
      </c>
    </row>
    <row r="21" spans="1:6" ht="17.25" thickBot="1" x14ac:dyDescent="0.35">
      <c r="A21" s="70" t="s">
        <v>57</v>
      </c>
      <c r="B21" s="1" t="s">
        <v>66</v>
      </c>
      <c r="C21" s="2"/>
      <c r="D21" s="2"/>
      <c r="E21" s="2"/>
      <c r="F21" s="2"/>
    </row>
    <row r="22" spans="1:6" ht="26.25" thickBot="1" x14ac:dyDescent="0.35">
      <c r="A22" s="3" t="s">
        <v>2</v>
      </c>
      <c r="B22" s="4" t="s">
        <v>3</v>
      </c>
      <c r="C22" s="4" t="s">
        <v>0</v>
      </c>
      <c r="D22" s="4" t="s">
        <v>4</v>
      </c>
      <c r="E22" s="4" t="s">
        <v>5</v>
      </c>
      <c r="F22" s="5" t="s">
        <v>6</v>
      </c>
    </row>
    <row r="23" spans="1:6" x14ac:dyDescent="0.3">
      <c r="A23" s="6">
        <v>1</v>
      </c>
      <c r="B23" s="7">
        <v>2</v>
      </c>
      <c r="C23" s="7">
        <v>3</v>
      </c>
      <c r="D23" s="7">
        <v>4</v>
      </c>
      <c r="E23" s="7">
        <v>5</v>
      </c>
      <c r="F23" s="8">
        <v>6</v>
      </c>
    </row>
    <row r="24" spans="1:6" x14ac:dyDescent="0.3">
      <c r="A24" s="9" t="s">
        <v>1</v>
      </c>
      <c r="B24" s="10" t="s">
        <v>69</v>
      </c>
      <c r="C24" s="11"/>
      <c r="D24" s="11"/>
      <c r="E24" s="11"/>
      <c r="F24" s="12"/>
    </row>
    <row r="25" spans="1:6" x14ac:dyDescent="0.3">
      <c r="A25" s="13"/>
      <c r="B25" s="14" t="s">
        <v>38</v>
      </c>
      <c r="C25" s="15" t="s">
        <v>7</v>
      </c>
      <c r="D25" s="16">
        <v>0.75</v>
      </c>
      <c r="E25" s="17">
        <f>'HARGA BAHAN'!E4</f>
        <v>125000</v>
      </c>
      <c r="F25" s="18">
        <f>+D25*E25</f>
        <v>93750</v>
      </c>
    </row>
    <row r="26" spans="1:6" ht="17.25" thickBot="1" x14ac:dyDescent="0.35">
      <c r="A26" s="13"/>
      <c r="B26" s="19" t="s">
        <v>78</v>
      </c>
      <c r="C26" s="20" t="s">
        <v>7</v>
      </c>
      <c r="D26" s="21">
        <v>2.5000000000000001E-2</v>
      </c>
      <c r="E26" s="22">
        <f>'HARGA BAHAN'!E5</f>
        <v>160000</v>
      </c>
      <c r="F26" s="18">
        <f>+D26*E26</f>
        <v>4000</v>
      </c>
    </row>
    <row r="27" spans="1:6" ht="17.25" thickBot="1" x14ac:dyDescent="0.35">
      <c r="A27" s="27"/>
      <c r="B27" s="28"/>
      <c r="C27" s="29"/>
      <c r="D27" s="30" t="s">
        <v>8</v>
      </c>
      <c r="E27" s="31"/>
      <c r="F27" s="32">
        <f>SUM(F25:F26)</f>
        <v>97750</v>
      </c>
    </row>
    <row r="28" spans="1:6" x14ac:dyDescent="0.3">
      <c r="A28" s="33" t="s">
        <v>9</v>
      </c>
      <c r="B28" s="34" t="s">
        <v>70</v>
      </c>
      <c r="C28" s="35"/>
      <c r="D28" s="35"/>
      <c r="E28" s="35"/>
      <c r="F28" s="36"/>
    </row>
    <row r="29" spans="1:6" ht="17.25" thickBot="1" x14ac:dyDescent="0.35">
      <c r="A29" s="37"/>
      <c r="B29" s="38"/>
      <c r="C29" s="39"/>
      <c r="D29" s="40"/>
      <c r="E29" s="41"/>
      <c r="F29" s="42">
        <f>+D29*E29</f>
        <v>0</v>
      </c>
    </row>
    <row r="30" spans="1:6" ht="17.25" thickBot="1" x14ac:dyDescent="0.35">
      <c r="A30" s="27"/>
      <c r="B30" s="43"/>
      <c r="C30" s="43"/>
      <c r="D30" s="44" t="s">
        <v>10</v>
      </c>
      <c r="E30" s="43"/>
      <c r="F30" s="32">
        <f>SUM(F29:F29)</f>
        <v>0</v>
      </c>
    </row>
    <row r="31" spans="1:6" x14ac:dyDescent="0.3">
      <c r="A31" s="33" t="s">
        <v>11</v>
      </c>
      <c r="B31" s="34" t="s">
        <v>71</v>
      </c>
      <c r="C31" s="35"/>
      <c r="D31" s="35"/>
      <c r="E31" s="35"/>
      <c r="F31" s="36"/>
    </row>
    <row r="32" spans="1:6" ht="17.25" thickBot="1" x14ac:dyDescent="0.35">
      <c r="A32" s="45"/>
      <c r="B32" s="46"/>
      <c r="C32" s="47"/>
      <c r="D32" s="48"/>
      <c r="E32" s="49"/>
      <c r="F32" s="42">
        <f>+D32*E32</f>
        <v>0</v>
      </c>
    </row>
    <row r="33" spans="1:6" ht="17.25" thickBot="1" x14ac:dyDescent="0.35">
      <c r="A33" s="27"/>
      <c r="B33" s="28"/>
      <c r="C33" s="29"/>
      <c r="D33" s="30" t="s">
        <v>12</v>
      </c>
      <c r="E33" s="31"/>
      <c r="F33" s="32">
        <f>SUM(F32)</f>
        <v>0</v>
      </c>
    </row>
    <row r="34" spans="1:6" x14ac:dyDescent="0.3">
      <c r="A34" s="33" t="s">
        <v>13</v>
      </c>
      <c r="B34" s="34" t="s">
        <v>72</v>
      </c>
      <c r="C34" s="51"/>
      <c r="D34" s="51"/>
      <c r="E34" s="52"/>
      <c r="F34" s="53">
        <f>+F27+F30+F33</f>
        <v>97750</v>
      </c>
    </row>
    <row r="35" spans="1:6" x14ac:dyDescent="0.3">
      <c r="A35" s="9" t="s">
        <v>15</v>
      </c>
      <c r="B35" s="10" t="s">
        <v>73</v>
      </c>
      <c r="C35" s="54"/>
      <c r="D35" s="54"/>
      <c r="E35" s="55"/>
      <c r="F35" s="56">
        <f>F34*15%</f>
        <v>14662.5</v>
      </c>
    </row>
    <row r="36" spans="1:6" ht="17.25" thickBot="1" x14ac:dyDescent="0.35">
      <c r="A36" s="57" t="s">
        <v>16</v>
      </c>
      <c r="B36" s="58" t="s">
        <v>74</v>
      </c>
      <c r="C36" s="59"/>
      <c r="D36" s="59"/>
      <c r="E36" s="60"/>
      <c r="F36" s="61">
        <f>SUM(F34:F35)</f>
        <v>112412.5</v>
      </c>
    </row>
    <row r="38" spans="1:6" ht="17.25" hidden="1" thickBot="1" x14ac:dyDescent="0.35">
      <c r="A38" s="70" t="s">
        <v>58</v>
      </c>
      <c r="B38" s="1" t="s">
        <v>67</v>
      </c>
      <c r="C38" s="2"/>
      <c r="D38" s="2"/>
      <c r="E38" s="2"/>
      <c r="F38" s="2"/>
    </row>
    <row r="39" spans="1:6" ht="26.25" hidden="1" thickBot="1" x14ac:dyDescent="0.35">
      <c r="A39" s="3" t="s">
        <v>2</v>
      </c>
      <c r="B39" s="4" t="s">
        <v>3</v>
      </c>
      <c r="C39" s="4" t="s">
        <v>0</v>
      </c>
      <c r="D39" s="4" t="s">
        <v>4</v>
      </c>
      <c r="E39" s="4" t="s">
        <v>5</v>
      </c>
      <c r="F39" s="5" t="s">
        <v>6</v>
      </c>
    </row>
    <row r="40" spans="1:6" hidden="1" x14ac:dyDescent="0.3">
      <c r="A40" s="6">
        <v>1</v>
      </c>
      <c r="B40" s="7">
        <v>2</v>
      </c>
      <c r="C40" s="7">
        <v>3</v>
      </c>
      <c r="D40" s="7">
        <v>4</v>
      </c>
      <c r="E40" s="7">
        <v>5</v>
      </c>
      <c r="F40" s="8">
        <v>6</v>
      </c>
    </row>
    <row r="41" spans="1:6" hidden="1" x14ac:dyDescent="0.3">
      <c r="A41" s="9" t="s">
        <v>1</v>
      </c>
      <c r="B41" s="10" t="s">
        <v>69</v>
      </c>
      <c r="C41" s="11"/>
      <c r="D41" s="11"/>
      <c r="E41" s="11"/>
      <c r="F41" s="12"/>
    </row>
    <row r="42" spans="1:6" hidden="1" x14ac:dyDescent="0.3">
      <c r="A42" s="13"/>
      <c r="B42" s="14" t="s">
        <v>38</v>
      </c>
      <c r="C42" s="15" t="s">
        <v>7</v>
      </c>
      <c r="D42" s="16">
        <v>1.05</v>
      </c>
      <c r="E42" s="17">
        <f>'HARGA BAHAN'!E4</f>
        <v>125000</v>
      </c>
      <c r="F42" s="18">
        <f>+D42*E42</f>
        <v>131250</v>
      </c>
    </row>
    <row r="43" spans="1:6" ht="17.25" hidden="1" thickBot="1" x14ac:dyDescent="0.35">
      <c r="A43" s="13"/>
      <c r="B43" s="19" t="s">
        <v>78</v>
      </c>
      <c r="C43" s="20" t="s">
        <v>7</v>
      </c>
      <c r="D43" s="21">
        <v>6.7000000000000004E-2</v>
      </c>
      <c r="E43" s="22">
        <f>'HARGA BAHAN'!E5</f>
        <v>160000</v>
      </c>
      <c r="F43" s="18">
        <f>+D43*E43</f>
        <v>10720</v>
      </c>
    </row>
    <row r="44" spans="1:6" ht="17.25" hidden="1" thickBot="1" x14ac:dyDescent="0.35">
      <c r="A44" s="27"/>
      <c r="B44" s="28"/>
      <c r="C44" s="29"/>
      <c r="D44" s="30" t="s">
        <v>8</v>
      </c>
      <c r="E44" s="31"/>
      <c r="F44" s="32">
        <f>SUM(F42:F43)</f>
        <v>141970</v>
      </c>
    </row>
    <row r="45" spans="1:6" hidden="1" x14ac:dyDescent="0.3">
      <c r="A45" s="33" t="s">
        <v>9</v>
      </c>
      <c r="B45" s="34" t="s">
        <v>70</v>
      </c>
      <c r="C45" s="35"/>
      <c r="D45" s="35"/>
      <c r="E45" s="35"/>
      <c r="F45" s="36"/>
    </row>
    <row r="46" spans="1:6" ht="17.25" hidden="1" thickBot="1" x14ac:dyDescent="0.35">
      <c r="A46" s="37"/>
      <c r="B46" s="38"/>
      <c r="C46" s="39"/>
      <c r="D46" s="40"/>
      <c r="E46" s="41"/>
      <c r="F46" s="42">
        <f>+D46*E46</f>
        <v>0</v>
      </c>
    </row>
    <row r="47" spans="1:6" ht="17.25" hidden="1" thickBot="1" x14ac:dyDescent="0.35">
      <c r="A47" s="27"/>
      <c r="B47" s="43"/>
      <c r="C47" s="43"/>
      <c r="D47" s="44" t="s">
        <v>10</v>
      </c>
      <c r="E47" s="43"/>
      <c r="F47" s="32">
        <f>SUM(F46:F46)</f>
        <v>0</v>
      </c>
    </row>
    <row r="48" spans="1:6" hidden="1" x14ac:dyDescent="0.3">
      <c r="A48" s="33" t="s">
        <v>11</v>
      </c>
      <c r="B48" s="34" t="s">
        <v>71</v>
      </c>
      <c r="C48" s="35"/>
      <c r="D48" s="35"/>
      <c r="E48" s="35"/>
      <c r="F48" s="36"/>
    </row>
    <row r="49" spans="1:6" ht="17.25" hidden="1" thickBot="1" x14ac:dyDescent="0.35">
      <c r="A49" s="45"/>
      <c r="B49" s="46"/>
      <c r="C49" s="47"/>
      <c r="D49" s="48"/>
      <c r="E49" s="49"/>
      <c r="F49" s="42">
        <f>+D49*E49</f>
        <v>0</v>
      </c>
    </row>
    <row r="50" spans="1:6" ht="17.25" hidden="1" thickBot="1" x14ac:dyDescent="0.35">
      <c r="A50" s="27"/>
      <c r="B50" s="28"/>
      <c r="C50" s="29"/>
      <c r="D50" s="30" t="s">
        <v>12</v>
      </c>
      <c r="E50" s="31"/>
      <c r="F50" s="32">
        <f>SUM(F49)</f>
        <v>0</v>
      </c>
    </row>
    <row r="51" spans="1:6" hidden="1" x14ac:dyDescent="0.3">
      <c r="A51" s="33" t="s">
        <v>13</v>
      </c>
      <c r="B51" s="34" t="s">
        <v>72</v>
      </c>
      <c r="C51" s="51"/>
      <c r="D51" s="51"/>
      <c r="E51" s="52"/>
      <c r="F51" s="53">
        <f>+F44+F47+F50</f>
        <v>141970</v>
      </c>
    </row>
    <row r="52" spans="1:6" hidden="1" x14ac:dyDescent="0.3">
      <c r="A52" s="9" t="s">
        <v>15</v>
      </c>
      <c r="B52" s="10" t="s">
        <v>73</v>
      </c>
      <c r="C52" s="54"/>
      <c r="D52" s="54"/>
      <c r="E52" s="55"/>
      <c r="F52" s="56">
        <f>F51*15%</f>
        <v>21295.5</v>
      </c>
    </row>
    <row r="53" spans="1:6" ht="17.25" hidden="1" thickBot="1" x14ac:dyDescent="0.35">
      <c r="A53" s="57" t="s">
        <v>16</v>
      </c>
      <c r="B53" s="58" t="s">
        <v>74</v>
      </c>
      <c r="C53" s="59"/>
      <c r="D53" s="59"/>
      <c r="E53" s="60"/>
      <c r="F53" s="61">
        <f>SUM(F51:F52)</f>
        <v>163265.5</v>
      </c>
    </row>
    <row r="54" spans="1:6" hidden="1" x14ac:dyDescent="0.3"/>
    <row r="55" spans="1:6" ht="17.25" thickBot="1" x14ac:dyDescent="0.35">
      <c r="A55" s="99" t="s">
        <v>222</v>
      </c>
      <c r="B55" s="1" t="s">
        <v>223</v>
      </c>
      <c r="C55" s="2"/>
      <c r="D55" s="2"/>
      <c r="E55" s="2"/>
      <c r="F55" s="2"/>
    </row>
    <row r="56" spans="1:6" ht="26.25" thickBot="1" x14ac:dyDescent="0.35">
      <c r="A56" s="3" t="s">
        <v>2</v>
      </c>
      <c r="B56" s="4" t="s">
        <v>3</v>
      </c>
      <c r="C56" s="4" t="s">
        <v>0</v>
      </c>
      <c r="D56" s="4" t="s">
        <v>4</v>
      </c>
      <c r="E56" s="4" t="s">
        <v>5</v>
      </c>
      <c r="F56" s="5" t="s">
        <v>6</v>
      </c>
    </row>
    <row r="57" spans="1:6" x14ac:dyDescent="0.3">
      <c r="A57" s="6">
        <v>1</v>
      </c>
      <c r="B57" s="7">
        <v>2</v>
      </c>
      <c r="C57" s="7">
        <v>3</v>
      </c>
      <c r="D57" s="7">
        <v>4</v>
      </c>
      <c r="E57" s="7">
        <v>5</v>
      </c>
      <c r="F57" s="8">
        <v>6</v>
      </c>
    </row>
    <row r="58" spans="1:6" x14ac:dyDescent="0.3">
      <c r="A58" s="100" t="s">
        <v>1</v>
      </c>
      <c r="B58" s="101" t="s">
        <v>128</v>
      </c>
      <c r="C58" s="102"/>
      <c r="D58" s="102"/>
      <c r="E58" s="102"/>
      <c r="F58" s="103"/>
    </row>
    <row r="59" spans="1:6" x14ac:dyDescent="0.3">
      <c r="A59" s="13"/>
      <c r="B59" s="14" t="s">
        <v>129</v>
      </c>
      <c r="C59" s="15" t="s">
        <v>7</v>
      </c>
      <c r="D59" s="16">
        <v>0.04</v>
      </c>
      <c r="E59" s="17">
        <f>'HARGA BAHAN'!E4</f>
        <v>125000</v>
      </c>
      <c r="F59" s="18">
        <f>+D59*E59</f>
        <v>5000</v>
      </c>
    </row>
    <row r="60" spans="1:6" ht="17.25" thickBot="1" x14ac:dyDescent="0.35">
      <c r="A60" s="13"/>
      <c r="B60" s="14" t="s">
        <v>132</v>
      </c>
      <c r="C60" s="15" t="s">
        <v>7</v>
      </c>
      <c r="D60" s="16">
        <v>0.02</v>
      </c>
      <c r="E60" s="22">
        <f>'HARGA BAHAN'!E7</f>
        <v>175000</v>
      </c>
      <c r="F60" s="18">
        <f t="shared" ref="F60" si="0">+D60*E60</f>
        <v>3500</v>
      </c>
    </row>
    <row r="61" spans="1:6" ht="17.25" thickBot="1" x14ac:dyDescent="0.35">
      <c r="A61" s="27"/>
      <c r="B61" s="28"/>
      <c r="C61" s="29"/>
      <c r="D61" s="30" t="s">
        <v>8</v>
      </c>
      <c r="E61" s="31"/>
      <c r="F61" s="32">
        <f>SUM(F59:F60)</f>
        <v>8500</v>
      </c>
    </row>
    <row r="62" spans="1:6" x14ac:dyDescent="0.3">
      <c r="A62" s="33" t="s">
        <v>9</v>
      </c>
      <c r="B62" s="34" t="s">
        <v>133</v>
      </c>
      <c r="C62" s="35"/>
      <c r="D62" s="35"/>
      <c r="E62" s="35"/>
      <c r="F62" s="36"/>
    </row>
    <row r="63" spans="1:6" ht="17.25" thickBot="1" x14ac:dyDescent="0.35">
      <c r="A63" s="37"/>
      <c r="B63" s="38"/>
      <c r="C63" s="39"/>
      <c r="D63" s="40"/>
      <c r="E63" s="41"/>
      <c r="F63" s="42"/>
    </row>
    <row r="64" spans="1:6" ht="17.25" thickBot="1" x14ac:dyDescent="0.35">
      <c r="A64" s="27"/>
      <c r="B64" s="43"/>
      <c r="C64" s="43"/>
      <c r="D64" s="44" t="s">
        <v>10</v>
      </c>
      <c r="E64" s="43"/>
      <c r="F64" s="32">
        <f>SUM(F63:F63)</f>
        <v>0</v>
      </c>
    </row>
    <row r="65" spans="1:6" x14ac:dyDescent="0.3">
      <c r="A65" s="33" t="s">
        <v>11</v>
      </c>
      <c r="B65" s="34" t="s">
        <v>138</v>
      </c>
      <c r="C65" s="35"/>
      <c r="D65" s="35"/>
      <c r="E65" s="35"/>
      <c r="F65" s="36"/>
    </row>
    <row r="66" spans="1:6" ht="17.25" thickBot="1" x14ac:dyDescent="0.35">
      <c r="A66" s="45"/>
      <c r="B66" s="46"/>
      <c r="C66" s="47"/>
      <c r="D66" s="48"/>
      <c r="E66" s="49"/>
      <c r="F66" s="50"/>
    </row>
    <row r="67" spans="1:6" ht="17.25" thickBot="1" x14ac:dyDescent="0.35">
      <c r="A67" s="27"/>
      <c r="B67" s="28"/>
      <c r="C67" s="29"/>
      <c r="D67" s="30" t="s">
        <v>12</v>
      </c>
      <c r="E67" s="31"/>
      <c r="F67" s="32">
        <f>SUM(F66)</f>
        <v>0</v>
      </c>
    </row>
    <row r="68" spans="1:6" x14ac:dyDescent="0.3">
      <c r="A68" s="33" t="s">
        <v>13</v>
      </c>
      <c r="B68" s="34" t="s">
        <v>14</v>
      </c>
      <c r="C68" s="51"/>
      <c r="D68" s="51"/>
      <c r="E68" s="52"/>
      <c r="F68" s="53">
        <f>+F61+F64+F67</f>
        <v>8500</v>
      </c>
    </row>
    <row r="69" spans="1:6" x14ac:dyDescent="0.3">
      <c r="A69" s="9" t="s">
        <v>15</v>
      </c>
      <c r="B69" s="10" t="s">
        <v>49</v>
      </c>
      <c r="C69" s="54"/>
      <c r="D69" s="54"/>
      <c r="E69" s="55"/>
      <c r="F69" s="56">
        <f>F68*15%</f>
        <v>1275</v>
      </c>
    </row>
    <row r="70" spans="1:6" ht="17.25" thickBot="1" x14ac:dyDescent="0.35">
      <c r="A70" s="57" t="s">
        <v>16</v>
      </c>
      <c r="B70" s="58" t="s">
        <v>17</v>
      </c>
      <c r="C70" s="59"/>
      <c r="D70" s="59"/>
      <c r="E70" s="60"/>
      <c r="F70" s="61">
        <f>SUM(F68:F69)</f>
        <v>9775</v>
      </c>
    </row>
    <row r="72" spans="1:6" ht="17.25" thickBot="1" x14ac:dyDescent="0.35">
      <c r="A72" s="99" t="s">
        <v>224</v>
      </c>
      <c r="B72" s="1" t="s">
        <v>225</v>
      </c>
      <c r="C72" s="2"/>
      <c r="D72" s="2"/>
      <c r="E72" s="2"/>
      <c r="F72" s="2"/>
    </row>
    <row r="73" spans="1:6" ht="26.25" thickBot="1" x14ac:dyDescent="0.35">
      <c r="A73" s="3" t="s">
        <v>2</v>
      </c>
      <c r="B73" s="4" t="s">
        <v>3</v>
      </c>
      <c r="C73" s="4" t="s">
        <v>0</v>
      </c>
      <c r="D73" s="4" t="s">
        <v>4</v>
      </c>
      <c r="E73" s="4" t="s">
        <v>5</v>
      </c>
      <c r="F73" s="5" t="s">
        <v>6</v>
      </c>
    </row>
    <row r="74" spans="1:6" x14ac:dyDescent="0.3">
      <c r="A74" s="6">
        <v>1</v>
      </c>
      <c r="B74" s="7">
        <v>2</v>
      </c>
      <c r="C74" s="7">
        <v>3</v>
      </c>
      <c r="D74" s="7">
        <v>4</v>
      </c>
      <c r="E74" s="7">
        <v>5</v>
      </c>
      <c r="F74" s="8">
        <v>6</v>
      </c>
    </row>
    <row r="75" spans="1:6" x14ac:dyDescent="0.3">
      <c r="A75" s="100" t="s">
        <v>1</v>
      </c>
      <c r="B75" s="101" t="s">
        <v>128</v>
      </c>
      <c r="C75" s="102"/>
      <c r="D75" s="102"/>
      <c r="E75" s="102"/>
      <c r="F75" s="103"/>
    </row>
    <row r="76" spans="1:6" ht="17.25" thickBot="1" x14ac:dyDescent="0.35">
      <c r="A76" s="13"/>
      <c r="B76" s="14" t="s">
        <v>129</v>
      </c>
      <c r="C76" s="15" t="s">
        <v>7</v>
      </c>
      <c r="D76" s="16">
        <v>0.03</v>
      </c>
      <c r="E76" s="17">
        <f>'HARGA BAHAN'!E4</f>
        <v>125000</v>
      </c>
      <c r="F76" s="18">
        <f>+D76*E76</f>
        <v>3750</v>
      </c>
    </row>
    <row r="77" spans="1:6" ht="17.25" thickBot="1" x14ac:dyDescent="0.35">
      <c r="A77" s="27"/>
      <c r="B77" s="28"/>
      <c r="C77" s="29"/>
      <c r="D77" s="30" t="s">
        <v>8</v>
      </c>
      <c r="E77" s="31"/>
      <c r="F77" s="32">
        <f>SUM(F76:F76)</f>
        <v>3750</v>
      </c>
    </row>
    <row r="78" spans="1:6" x14ac:dyDescent="0.3">
      <c r="A78" s="33" t="s">
        <v>9</v>
      </c>
      <c r="B78" s="34" t="s">
        <v>133</v>
      </c>
      <c r="C78" s="35"/>
      <c r="D78" s="35"/>
      <c r="E78" s="35"/>
      <c r="F78" s="36"/>
    </row>
    <row r="79" spans="1:6" ht="17.25" thickBot="1" x14ac:dyDescent="0.35">
      <c r="A79" s="37"/>
      <c r="B79" s="38"/>
      <c r="C79" s="39"/>
      <c r="D79" s="40"/>
      <c r="E79" s="41"/>
      <c r="F79" s="42"/>
    </row>
    <row r="80" spans="1:6" ht="17.25" thickBot="1" x14ac:dyDescent="0.35">
      <c r="A80" s="27"/>
      <c r="B80" s="43"/>
      <c r="C80" s="43"/>
      <c r="D80" s="44" t="s">
        <v>10</v>
      </c>
      <c r="E80" s="43"/>
      <c r="F80" s="32">
        <f>SUM(F79:F79)</f>
        <v>0</v>
      </c>
    </row>
    <row r="81" spans="1:6" x14ac:dyDescent="0.3">
      <c r="A81" s="33" t="s">
        <v>11</v>
      </c>
      <c r="B81" s="34" t="s">
        <v>138</v>
      </c>
      <c r="C81" s="35"/>
      <c r="D81" s="35"/>
      <c r="E81" s="35"/>
      <c r="F81" s="36"/>
    </row>
    <row r="82" spans="1:6" ht="17.25" thickBot="1" x14ac:dyDescent="0.35">
      <c r="A82" s="45"/>
      <c r="B82" s="46"/>
      <c r="C82" s="47"/>
      <c r="D82" s="48"/>
      <c r="E82" s="49"/>
      <c r="F82" s="50"/>
    </row>
    <row r="83" spans="1:6" ht="17.25" thickBot="1" x14ac:dyDescent="0.35">
      <c r="A83" s="27"/>
      <c r="B83" s="28"/>
      <c r="C83" s="29"/>
      <c r="D83" s="30" t="s">
        <v>12</v>
      </c>
      <c r="E83" s="31"/>
      <c r="F83" s="32">
        <f>SUM(F82)</f>
        <v>0</v>
      </c>
    </row>
    <row r="84" spans="1:6" x14ac:dyDescent="0.3">
      <c r="A84" s="33" t="s">
        <v>13</v>
      </c>
      <c r="B84" s="34" t="s">
        <v>14</v>
      </c>
      <c r="C84" s="51"/>
      <c r="D84" s="51"/>
      <c r="E84" s="52"/>
      <c r="F84" s="53">
        <f>+F77+F80+F83</f>
        <v>3750</v>
      </c>
    </row>
    <row r="85" spans="1:6" x14ac:dyDescent="0.3">
      <c r="A85" s="9" t="s">
        <v>15</v>
      </c>
      <c r="B85" s="10" t="s">
        <v>49</v>
      </c>
      <c r="C85" s="54"/>
      <c r="D85" s="54"/>
      <c r="E85" s="55"/>
      <c r="F85" s="56">
        <f>F84*15%</f>
        <v>562.5</v>
      </c>
    </row>
    <row r="86" spans="1:6" ht="17.25" thickBot="1" x14ac:dyDescent="0.35">
      <c r="A86" s="57" t="s">
        <v>16</v>
      </c>
      <c r="B86" s="58" t="s">
        <v>17</v>
      </c>
      <c r="C86" s="59"/>
      <c r="D86" s="59"/>
      <c r="E86" s="60"/>
      <c r="F86" s="61">
        <f>SUM(F84:F85)</f>
        <v>4312.5</v>
      </c>
    </row>
    <row r="88" spans="1:6" ht="17.25" thickBot="1" x14ac:dyDescent="0.35">
      <c r="A88" s="99" t="s">
        <v>413</v>
      </c>
      <c r="B88" s="1" t="s">
        <v>415</v>
      </c>
      <c r="C88" s="2"/>
      <c r="D88" s="2"/>
      <c r="E88" s="2"/>
      <c r="F88" s="2"/>
    </row>
    <row r="89" spans="1:6" ht="26.25" thickBot="1" x14ac:dyDescent="0.35">
      <c r="A89" s="3" t="s">
        <v>2</v>
      </c>
      <c r="B89" s="4" t="s">
        <v>3</v>
      </c>
      <c r="C89" s="4" t="s">
        <v>0</v>
      </c>
      <c r="D89" s="4" t="s">
        <v>4</v>
      </c>
      <c r="E89" s="4" t="s">
        <v>5</v>
      </c>
      <c r="F89" s="5" t="s">
        <v>6</v>
      </c>
    </row>
    <row r="90" spans="1:6" x14ac:dyDescent="0.3">
      <c r="A90" s="6">
        <v>1</v>
      </c>
      <c r="B90" s="7">
        <v>2</v>
      </c>
      <c r="C90" s="7">
        <v>3</v>
      </c>
      <c r="D90" s="7">
        <v>4</v>
      </c>
      <c r="E90" s="7">
        <v>5</v>
      </c>
      <c r="F90" s="8">
        <v>6</v>
      </c>
    </row>
    <row r="91" spans="1:6" x14ac:dyDescent="0.3">
      <c r="A91" s="100" t="s">
        <v>1</v>
      </c>
      <c r="B91" s="101" t="s">
        <v>128</v>
      </c>
      <c r="C91" s="102"/>
      <c r="D91" s="102"/>
      <c r="E91" s="102"/>
      <c r="F91" s="103"/>
    </row>
    <row r="92" spans="1:6" x14ac:dyDescent="0.3">
      <c r="A92" s="13"/>
      <c r="B92" s="14" t="s">
        <v>129</v>
      </c>
      <c r="C92" s="15" t="s">
        <v>7</v>
      </c>
      <c r="D92" s="16">
        <v>0.3</v>
      </c>
      <c r="E92" s="17">
        <f>'HARGA BAHAN'!E4</f>
        <v>125000</v>
      </c>
      <c r="F92" s="18">
        <f>+D92*E92</f>
        <v>37500</v>
      </c>
    </row>
    <row r="93" spans="1:6" ht="17.25" thickBot="1" x14ac:dyDescent="0.35">
      <c r="A93" s="13"/>
      <c r="B93" s="14" t="s">
        <v>132</v>
      </c>
      <c r="C93" s="15" t="s">
        <v>7</v>
      </c>
      <c r="D93" s="16">
        <v>0.03</v>
      </c>
      <c r="E93" s="22">
        <f>'HARGA BAHAN'!E7</f>
        <v>175000</v>
      </c>
      <c r="F93" s="18">
        <f t="shared" ref="F93" si="1">+D93*E93</f>
        <v>5250</v>
      </c>
    </row>
    <row r="94" spans="1:6" ht="17.25" thickBot="1" x14ac:dyDescent="0.35">
      <c r="A94" s="27"/>
      <c r="B94" s="28"/>
      <c r="C94" s="29"/>
      <c r="D94" s="30" t="s">
        <v>8</v>
      </c>
      <c r="E94" s="31"/>
      <c r="F94" s="32">
        <f>SUM(F92:F93)</f>
        <v>42750</v>
      </c>
    </row>
    <row r="95" spans="1:6" x14ac:dyDescent="0.3">
      <c r="A95" s="33" t="s">
        <v>9</v>
      </c>
      <c r="B95" s="34" t="s">
        <v>133</v>
      </c>
      <c r="C95" s="35"/>
      <c r="D95" s="35"/>
      <c r="E95" s="35"/>
      <c r="F95" s="36"/>
    </row>
    <row r="96" spans="1:6" ht="17.25" thickBot="1" x14ac:dyDescent="0.35">
      <c r="A96" s="37"/>
      <c r="B96" s="38"/>
      <c r="C96" s="39"/>
      <c r="D96" s="40"/>
      <c r="E96" s="41"/>
      <c r="F96" s="42"/>
    </row>
    <row r="97" spans="1:6" ht="17.25" thickBot="1" x14ac:dyDescent="0.35">
      <c r="A97" s="27"/>
      <c r="B97" s="43"/>
      <c r="C97" s="43"/>
      <c r="D97" s="44" t="s">
        <v>10</v>
      </c>
      <c r="E97" s="43"/>
      <c r="F97" s="32">
        <f>SUM(F96:F96)</f>
        <v>0</v>
      </c>
    </row>
    <row r="98" spans="1:6" x14ac:dyDescent="0.3">
      <c r="A98" s="33" t="s">
        <v>11</v>
      </c>
      <c r="B98" s="34" t="s">
        <v>138</v>
      </c>
      <c r="C98" s="35"/>
      <c r="D98" s="35"/>
      <c r="E98" s="35"/>
      <c r="F98" s="36"/>
    </row>
    <row r="99" spans="1:6" ht="17.25" thickBot="1" x14ac:dyDescent="0.35">
      <c r="A99" s="45"/>
      <c r="B99" s="46"/>
      <c r="C99" s="47"/>
      <c r="D99" s="48"/>
      <c r="E99" s="49"/>
      <c r="F99" s="50"/>
    </row>
    <row r="100" spans="1:6" ht="17.25" thickBot="1" x14ac:dyDescent="0.35">
      <c r="A100" s="27"/>
      <c r="B100" s="28"/>
      <c r="C100" s="29"/>
      <c r="D100" s="30" t="s">
        <v>12</v>
      </c>
      <c r="E100" s="31"/>
      <c r="F100" s="32">
        <f>SUM(F99)</f>
        <v>0</v>
      </c>
    </row>
    <row r="101" spans="1:6" x14ac:dyDescent="0.3">
      <c r="A101" s="33" t="s">
        <v>13</v>
      </c>
      <c r="B101" s="34" t="s">
        <v>14</v>
      </c>
      <c r="C101" s="51"/>
      <c r="D101" s="51"/>
      <c r="E101" s="52"/>
      <c r="F101" s="53">
        <f>+F94+F97+F100</f>
        <v>42750</v>
      </c>
    </row>
    <row r="102" spans="1:6" x14ac:dyDescent="0.3">
      <c r="A102" s="9" t="s">
        <v>15</v>
      </c>
      <c r="B102" s="10" t="s">
        <v>49</v>
      </c>
      <c r="C102" s="54"/>
      <c r="D102" s="54"/>
      <c r="E102" s="55"/>
      <c r="F102" s="56">
        <f>F101*15%</f>
        <v>6412.5</v>
      </c>
    </row>
    <row r="103" spans="1:6" ht="17.25" thickBot="1" x14ac:dyDescent="0.35">
      <c r="A103" s="57" t="s">
        <v>16</v>
      </c>
      <c r="B103" s="58" t="s">
        <v>17</v>
      </c>
      <c r="C103" s="59"/>
      <c r="D103" s="59"/>
      <c r="E103" s="60"/>
      <c r="F103" s="61">
        <f>SUM(F101:F102)</f>
        <v>49162.5</v>
      </c>
    </row>
    <row r="105" spans="1:6" ht="17.25" thickBot="1" x14ac:dyDescent="0.35">
      <c r="A105" s="99" t="s">
        <v>440</v>
      </c>
      <c r="B105" s="1" t="s">
        <v>438</v>
      </c>
      <c r="C105" s="2"/>
      <c r="D105" s="2"/>
      <c r="E105" s="2"/>
      <c r="F105" s="2"/>
    </row>
    <row r="106" spans="1:6" ht="26.25" thickBot="1" x14ac:dyDescent="0.35">
      <c r="A106" s="3" t="s">
        <v>2</v>
      </c>
      <c r="B106" s="4" t="s">
        <v>3</v>
      </c>
      <c r="C106" s="4" t="s">
        <v>0</v>
      </c>
      <c r="D106" s="4" t="s">
        <v>4</v>
      </c>
      <c r="E106" s="4" t="s">
        <v>5</v>
      </c>
      <c r="F106" s="5" t="s">
        <v>6</v>
      </c>
    </row>
    <row r="107" spans="1:6" x14ac:dyDescent="0.3">
      <c r="A107" s="6">
        <v>1</v>
      </c>
      <c r="B107" s="7">
        <v>2</v>
      </c>
      <c r="C107" s="7">
        <v>3</v>
      </c>
      <c r="D107" s="7">
        <v>4</v>
      </c>
      <c r="E107" s="7">
        <v>5</v>
      </c>
      <c r="F107" s="8">
        <v>6</v>
      </c>
    </row>
    <row r="108" spans="1:6" x14ac:dyDescent="0.3">
      <c r="A108" s="100" t="s">
        <v>1</v>
      </c>
      <c r="B108" s="101" t="s">
        <v>128</v>
      </c>
      <c r="C108" s="102"/>
      <c r="D108" s="102"/>
      <c r="E108" s="102"/>
      <c r="F108" s="103"/>
    </row>
    <row r="109" spans="1:6" x14ac:dyDescent="0.3">
      <c r="A109" s="13"/>
      <c r="B109" s="14" t="s">
        <v>129</v>
      </c>
      <c r="C109" s="15" t="s">
        <v>7</v>
      </c>
      <c r="D109" s="16">
        <v>2</v>
      </c>
      <c r="E109" s="17">
        <f>'HARGA BAHAN'!E4</f>
        <v>125000</v>
      </c>
      <c r="F109" s="18">
        <f>+D109*E109</f>
        <v>250000</v>
      </c>
    </row>
    <row r="110" spans="1:6" ht="17.25" thickBot="1" x14ac:dyDescent="0.35">
      <c r="A110" s="13"/>
      <c r="B110" s="14" t="s">
        <v>132</v>
      </c>
      <c r="C110" s="15" t="s">
        <v>7</v>
      </c>
      <c r="D110" s="16">
        <v>0.1</v>
      </c>
      <c r="E110" s="22">
        <f>'HARGA BAHAN'!E7</f>
        <v>175000</v>
      </c>
      <c r="F110" s="18">
        <f t="shared" ref="F110" si="2">+D110*E110</f>
        <v>17500</v>
      </c>
    </row>
    <row r="111" spans="1:6" ht="17.25" thickBot="1" x14ac:dyDescent="0.35">
      <c r="A111" s="27"/>
      <c r="B111" s="28"/>
      <c r="C111" s="29"/>
      <c r="D111" s="30" t="s">
        <v>8</v>
      </c>
      <c r="E111" s="31"/>
      <c r="F111" s="32">
        <f>SUM(F109:F110)</f>
        <v>267500</v>
      </c>
    </row>
    <row r="112" spans="1:6" x14ac:dyDescent="0.3">
      <c r="A112" s="33" t="s">
        <v>9</v>
      </c>
      <c r="B112" s="34" t="s">
        <v>133</v>
      </c>
      <c r="C112" s="35"/>
      <c r="D112" s="35"/>
      <c r="E112" s="35"/>
      <c r="F112" s="36"/>
    </row>
    <row r="113" spans="1:6" ht="17.25" thickBot="1" x14ac:dyDescent="0.35">
      <c r="A113" s="37"/>
      <c r="B113" s="38"/>
      <c r="C113" s="39"/>
      <c r="D113" s="40"/>
      <c r="E113" s="41"/>
      <c r="F113" s="42"/>
    </row>
    <row r="114" spans="1:6" ht="17.25" thickBot="1" x14ac:dyDescent="0.35">
      <c r="A114" s="27"/>
      <c r="B114" s="43"/>
      <c r="C114" s="43"/>
      <c r="D114" s="44" t="s">
        <v>10</v>
      </c>
      <c r="E114" s="43"/>
      <c r="F114" s="32">
        <f>SUM(F113:F113)</f>
        <v>0</v>
      </c>
    </row>
    <row r="115" spans="1:6" x14ac:dyDescent="0.3">
      <c r="A115" s="33" t="s">
        <v>11</v>
      </c>
      <c r="B115" s="34" t="s">
        <v>138</v>
      </c>
      <c r="C115" s="35"/>
      <c r="D115" s="35"/>
      <c r="E115" s="35"/>
      <c r="F115" s="36"/>
    </row>
    <row r="116" spans="1:6" ht="17.25" thickBot="1" x14ac:dyDescent="0.35">
      <c r="A116" s="45"/>
      <c r="B116" s="46"/>
      <c r="C116" s="47"/>
      <c r="D116" s="48"/>
      <c r="E116" s="49"/>
      <c r="F116" s="50"/>
    </row>
    <row r="117" spans="1:6" ht="17.25" thickBot="1" x14ac:dyDescent="0.35">
      <c r="A117" s="27"/>
      <c r="B117" s="28"/>
      <c r="C117" s="29"/>
      <c r="D117" s="30" t="s">
        <v>12</v>
      </c>
      <c r="E117" s="31"/>
      <c r="F117" s="32">
        <f>SUM(F116)</f>
        <v>0</v>
      </c>
    </row>
    <row r="118" spans="1:6" x14ac:dyDescent="0.3">
      <c r="A118" s="33" t="s">
        <v>13</v>
      </c>
      <c r="B118" s="34" t="s">
        <v>14</v>
      </c>
      <c r="C118" s="51"/>
      <c r="D118" s="51"/>
      <c r="E118" s="52"/>
      <c r="F118" s="53">
        <f>+F111+F114+F117</f>
        <v>267500</v>
      </c>
    </row>
    <row r="119" spans="1:6" x14ac:dyDescent="0.3">
      <c r="A119" s="9" t="s">
        <v>15</v>
      </c>
      <c r="B119" s="10" t="s">
        <v>49</v>
      </c>
      <c r="C119" s="54"/>
      <c r="D119" s="54"/>
      <c r="E119" s="55"/>
      <c r="F119" s="56">
        <f>F118*15%</f>
        <v>40125</v>
      </c>
    </row>
    <row r="120" spans="1:6" ht="17.25" thickBot="1" x14ac:dyDescent="0.35">
      <c r="A120" s="57" t="s">
        <v>16</v>
      </c>
      <c r="B120" s="58" t="s">
        <v>17</v>
      </c>
      <c r="C120" s="59"/>
      <c r="D120" s="59"/>
      <c r="E120" s="60"/>
      <c r="F120" s="61">
        <f>SUM(F118:F119)</f>
        <v>307625</v>
      </c>
    </row>
    <row r="122" spans="1:6" x14ac:dyDescent="0.3">
      <c r="A122" s="114" t="s">
        <v>452</v>
      </c>
      <c r="B122" s="135"/>
      <c r="C122" s="135"/>
      <c r="D122" s="135"/>
      <c r="E122" s="135"/>
      <c r="F122" s="135"/>
    </row>
    <row r="123" spans="1:6" x14ac:dyDescent="0.3">
      <c r="A123" s="114"/>
      <c r="B123" s="135"/>
      <c r="C123" s="135"/>
      <c r="D123" s="135"/>
      <c r="E123" s="135"/>
      <c r="F123" s="135"/>
    </row>
    <row r="124" spans="1:6" ht="17.25" thickBot="1" x14ac:dyDescent="0.35">
      <c r="A124" s="70" t="s">
        <v>453</v>
      </c>
      <c r="B124" s="1" t="s">
        <v>454</v>
      </c>
      <c r="C124" s="2"/>
      <c r="D124" s="2"/>
      <c r="E124" s="2"/>
      <c r="F124" s="2"/>
    </row>
    <row r="125" spans="1:6" ht="26.25" thickBot="1" x14ac:dyDescent="0.35">
      <c r="A125" s="3" t="s">
        <v>2</v>
      </c>
      <c r="B125" s="4" t="s">
        <v>3</v>
      </c>
      <c r="C125" s="4" t="s">
        <v>0</v>
      </c>
      <c r="D125" s="4" t="s">
        <v>4</v>
      </c>
      <c r="E125" s="4" t="s">
        <v>5</v>
      </c>
      <c r="F125" s="5" t="s">
        <v>6</v>
      </c>
    </row>
    <row r="126" spans="1:6" x14ac:dyDescent="0.3">
      <c r="A126" s="6">
        <v>1</v>
      </c>
      <c r="B126" s="7">
        <v>2</v>
      </c>
      <c r="C126" s="7">
        <v>3</v>
      </c>
      <c r="D126" s="7">
        <v>4</v>
      </c>
      <c r="E126" s="7">
        <v>5</v>
      </c>
      <c r="F126" s="8">
        <v>6</v>
      </c>
    </row>
    <row r="127" spans="1:6" x14ac:dyDescent="0.3">
      <c r="A127" s="9" t="s">
        <v>1</v>
      </c>
      <c r="B127" s="10" t="s">
        <v>128</v>
      </c>
      <c r="C127" s="11"/>
      <c r="D127" s="11"/>
      <c r="E127" s="11"/>
      <c r="F127" s="12"/>
    </row>
    <row r="128" spans="1:6" x14ac:dyDescent="0.3">
      <c r="A128" s="13"/>
      <c r="B128" s="14" t="s">
        <v>129</v>
      </c>
      <c r="C128" s="15" t="s">
        <v>7</v>
      </c>
      <c r="D128" s="16">
        <v>1.5</v>
      </c>
      <c r="E128" s="17">
        <f>'HARGA BAHAN'!E4</f>
        <v>125000</v>
      </c>
      <c r="F128" s="18">
        <f t="shared" ref="F128:F131" si="3">+D128*E128</f>
        <v>187500</v>
      </c>
    </row>
    <row r="129" spans="1:6" x14ac:dyDescent="0.3">
      <c r="A129" s="23"/>
      <c r="B129" s="24" t="s">
        <v>279</v>
      </c>
      <c r="C129" s="25" t="s">
        <v>7</v>
      </c>
      <c r="D129" s="26">
        <v>0.75</v>
      </c>
      <c r="E129" s="17">
        <f>'HARGA BAHAN'!E5</f>
        <v>160000</v>
      </c>
      <c r="F129" s="96">
        <f t="shared" si="3"/>
        <v>120000</v>
      </c>
    </row>
    <row r="130" spans="1:6" x14ac:dyDescent="0.3">
      <c r="A130" s="23"/>
      <c r="B130" s="24" t="s">
        <v>131</v>
      </c>
      <c r="C130" s="25" t="s">
        <v>7</v>
      </c>
      <c r="D130" s="26">
        <v>7.4999999999999997E-2</v>
      </c>
      <c r="E130" s="17">
        <f>'HARGA BAHAN'!E6</f>
        <v>180000</v>
      </c>
      <c r="F130" s="96">
        <f t="shared" si="3"/>
        <v>13500</v>
      </c>
    </row>
    <row r="131" spans="1:6" ht="17.25" thickBot="1" x14ac:dyDescent="0.35">
      <c r="A131" s="23"/>
      <c r="B131" s="24" t="s">
        <v>132</v>
      </c>
      <c r="C131" s="25" t="s">
        <v>7</v>
      </c>
      <c r="D131" s="26">
        <v>7.4999999999999997E-2</v>
      </c>
      <c r="E131" s="17">
        <f>'HARGA BAHAN'!E7</f>
        <v>175000</v>
      </c>
      <c r="F131" s="96">
        <f t="shared" si="3"/>
        <v>13125</v>
      </c>
    </row>
    <row r="132" spans="1:6" ht="17.25" thickBot="1" x14ac:dyDescent="0.35">
      <c r="A132" s="27"/>
      <c r="B132" s="28"/>
      <c r="C132" s="29"/>
      <c r="D132" s="30" t="s">
        <v>8</v>
      </c>
      <c r="E132" s="31"/>
      <c r="F132" s="32">
        <f>SUM(F128:F131)</f>
        <v>334125</v>
      </c>
    </row>
    <row r="133" spans="1:6" x14ac:dyDescent="0.3">
      <c r="A133" s="33" t="s">
        <v>9</v>
      </c>
      <c r="B133" s="34" t="s">
        <v>133</v>
      </c>
      <c r="C133" s="35"/>
      <c r="D133" s="35"/>
      <c r="E133" s="35"/>
      <c r="F133" s="36"/>
    </row>
    <row r="134" spans="1:6" x14ac:dyDescent="0.3">
      <c r="A134" s="115"/>
      <c r="B134" s="38" t="s">
        <v>455</v>
      </c>
      <c r="C134" s="47" t="s">
        <v>456</v>
      </c>
      <c r="D134" s="40">
        <v>1.2</v>
      </c>
      <c r="E134" s="22">
        <f>'HARGA BAHAN'!E10</f>
        <v>280000</v>
      </c>
      <c r="F134" s="96">
        <f t="shared" ref="F134:F136" si="4">+D134*E134</f>
        <v>336000</v>
      </c>
    </row>
    <row r="135" spans="1:6" x14ac:dyDescent="0.3">
      <c r="A135" s="116"/>
      <c r="B135" s="19" t="s">
        <v>457</v>
      </c>
      <c r="C135" s="64" t="s">
        <v>186</v>
      </c>
      <c r="D135" s="21">
        <v>202</v>
      </c>
      <c r="E135" s="22">
        <f>'HARGA BAHAN'!E13</f>
        <v>2000</v>
      </c>
      <c r="F135" s="96">
        <f t="shared" si="4"/>
        <v>404000</v>
      </c>
    </row>
    <row r="136" spans="1:6" ht="17.25" thickBot="1" x14ac:dyDescent="0.35">
      <c r="A136" s="117"/>
      <c r="B136" s="14" t="s">
        <v>458</v>
      </c>
      <c r="C136" s="78" t="s">
        <v>456</v>
      </c>
      <c r="D136" s="16">
        <v>0.34</v>
      </c>
      <c r="E136" s="22">
        <f>'HARGA BAHAN'!E15</f>
        <v>210000</v>
      </c>
      <c r="F136" s="96">
        <f t="shared" si="4"/>
        <v>71400</v>
      </c>
    </row>
    <row r="137" spans="1:6" ht="17.25" thickBot="1" x14ac:dyDescent="0.35">
      <c r="A137" s="27"/>
      <c r="B137" s="43"/>
      <c r="C137" s="43"/>
      <c r="D137" s="44" t="s">
        <v>10</v>
      </c>
      <c r="E137" s="43"/>
      <c r="F137" s="32">
        <f>SUM(F134:F136)</f>
        <v>811400</v>
      </c>
    </row>
    <row r="138" spans="1:6" x14ac:dyDescent="0.3">
      <c r="A138" s="33" t="s">
        <v>11</v>
      </c>
      <c r="B138" s="34" t="s">
        <v>138</v>
      </c>
      <c r="C138" s="35"/>
      <c r="D138" s="35"/>
      <c r="E138" s="35"/>
      <c r="F138" s="36"/>
    </row>
    <row r="139" spans="1:6" ht="17.25" thickBot="1" x14ac:dyDescent="0.35">
      <c r="A139" s="45"/>
      <c r="B139" s="46"/>
      <c r="C139" s="47"/>
      <c r="D139" s="48"/>
      <c r="E139" s="49"/>
      <c r="F139" s="50"/>
    </row>
    <row r="140" spans="1:6" ht="17.25" thickBot="1" x14ac:dyDescent="0.35">
      <c r="A140" s="27"/>
      <c r="B140" s="28"/>
      <c r="C140" s="29"/>
      <c r="D140" s="30" t="s">
        <v>12</v>
      </c>
      <c r="E140" s="31"/>
      <c r="F140" s="32">
        <f>SUM(F139)</f>
        <v>0</v>
      </c>
    </row>
    <row r="141" spans="1:6" x14ac:dyDescent="0.3">
      <c r="A141" s="33" t="s">
        <v>13</v>
      </c>
      <c r="B141" s="34" t="s">
        <v>14</v>
      </c>
      <c r="C141" s="51"/>
      <c r="D141" s="51"/>
      <c r="E141" s="52"/>
      <c r="F141" s="53">
        <f>+F132+F137+F140</f>
        <v>1145525</v>
      </c>
    </row>
    <row r="142" spans="1:6" x14ac:dyDescent="0.3">
      <c r="A142" s="9" t="s">
        <v>15</v>
      </c>
      <c r="B142" s="10" t="s">
        <v>49</v>
      </c>
      <c r="C142" s="54"/>
      <c r="D142" s="54"/>
      <c r="E142" s="55"/>
      <c r="F142" s="56">
        <f>F141*15%</f>
        <v>171828.75</v>
      </c>
    </row>
    <row r="143" spans="1:6" ht="17.25" thickBot="1" x14ac:dyDescent="0.35">
      <c r="A143" s="57" t="s">
        <v>16</v>
      </c>
      <c r="B143" s="58" t="s">
        <v>17</v>
      </c>
      <c r="C143" s="59"/>
      <c r="D143" s="59"/>
      <c r="E143" s="60"/>
      <c r="F143" s="61">
        <f>SUM(F141:F142)</f>
        <v>1317353.75</v>
      </c>
    </row>
    <row r="145" spans="1:6" ht="17.25" thickBot="1" x14ac:dyDescent="0.35">
      <c r="A145" s="70" t="s">
        <v>329</v>
      </c>
      <c r="B145" s="1" t="s">
        <v>76</v>
      </c>
      <c r="C145" s="2"/>
      <c r="D145" s="2"/>
      <c r="E145" s="2"/>
      <c r="F145" s="2"/>
    </row>
    <row r="146" spans="1:6" ht="26.25" thickBot="1" x14ac:dyDescent="0.35">
      <c r="A146" s="3" t="s">
        <v>2</v>
      </c>
      <c r="B146" s="4" t="s">
        <v>3</v>
      </c>
      <c r="C146" s="4" t="s">
        <v>0</v>
      </c>
      <c r="D146" s="4" t="s">
        <v>4</v>
      </c>
      <c r="E146" s="4" t="s">
        <v>5</v>
      </c>
      <c r="F146" s="5" t="s">
        <v>6</v>
      </c>
    </row>
    <row r="147" spans="1:6" x14ac:dyDescent="0.3">
      <c r="A147" s="6">
        <v>1</v>
      </c>
      <c r="B147" s="7">
        <v>2</v>
      </c>
      <c r="C147" s="7">
        <v>3</v>
      </c>
      <c r="D147" s="7">
        <v>4</v>
      </c>
      <c r="E147" s="7">
        <v>5</v>
      </c>
      <c r="F147" s="8">
        <v>6</v>
      </c>
    </row>
    <row r="148" spans="1:6" x14ac:dyDescent="0.3">
      <c r="A148" s="9" t="s">
        <v>1</v>
      </c>
      <c r="B148" s="10" t="s">
        <v>69</v>
      </c>
      <c r="C148" s="11"/>
      <c r="D148" s="11"/>
      <c r="E148" s="11"/>
      <c r="F148" s="12"/>
    </row>
    <row r="149" spans="1:6" x14ac:dyDescent="0.3">
      <c r="A149" s="13"/>
      <c r="B149" s="14" t="s">
        <v>38</v>
      </c>
      <c r="C149" s="15" t="s">
        <v>7</v>
      </c>
      <c r="D149" s="16">
        <v>1.2</v>
      </c>
      <c r="E149" s="17">
        <f>'HARGA BAHAN'!E4</f>
        <v>125000</v>
      </c>
      <c r="F149" s="18">
        <f>+D149*E149</f>
        <v>150000</v>
      </c>
    </row>
    <row r="150" spans="1:6" x14ac:dyDescent="0.3">
      <c r="A150" s="13"/>
      <c r="B150" s="19" t="s">
        <v>78</v>
      </c>
      <c r="C150" s="20" t="s">
        <v>7</v>
      </c>
      <c r="D150" s="21">
        <v>0.2</v>
      </c>
      <c r="E150" s="17">
        <f>'HARGA BAHAN'!E5</f>
        <v>160000</v>
      </c>
      <c r="F150" s="18">
        <f>+D150*E150</f>
        <v>32000</v>
      </c>
    </row>
    <row r="151" spans="1:6" x14ac:dyDescent="0.3">
      <c r="A151" s="13"/>
      <c r="B151" s="14" t="s">
        <v>79</v>
      </c>
      <c r="C151" s="15" t="s">
        <v>7</v>
      </c>
      <c r="D151" s="16">
        <v>0.02</v>
      </c>
      <c r="E151" s="17">
        <f>'HARGA BAHAN'!E6</f>
        <v>180000</v>
      </c>
      <c r="F151" s="18">
        <f>+D151*E151</f>
        <v>3600</v>
      </c>
    </row>
    <row r="152" spans="1:6" ht="17.25" thickBot="1" x14ac:dyDescent="0.35">
      <c r="A152" s="23"/>
      <c r="B152" s="24" t="s">
        <v>40</v>
      </c>
      <c r="C152" s="25" t="s">
        <v>7</v>
      </c>
      <c r="D152" s="26">
        <v>0.06</v>
      </c>
      <c r="E152" s="17">
        <f>'HARGA BAHAN'!E7</f>
        <v>175000</v>
      </c>
      <c r="F152" s="18">
        <f>+D152*E152</f>
        <v>10500</v>
      </c>
    </row>
    <row r="153" spans="1:6" ht="17.25" thickBot="1" x14ac:dyDescent="0.35">
      <c r="A153" s="27"/>
      <c r="B153" s="28"/>
      <c r="C153" s="29"/>
      <c r="D153" s="30" t="s">
        <v>8</v>
      </c>
      <c r="E153" s="31"/>
      <c r="F153" s="32">
        <f>SUM(F149:F152)</f>
        <v>196100</v>
      </c>
    </row>
    <row r="154" spans="1:6" x14ac:dyDescent="0.3">
      <c r="A154" s="33" t="s">
        <v>9</v>
      </c>
      <c r="B154" s="34" t="s">
        <v>70</v>
      </c>
      <c r="C154" s="35"/>
      <c r="D154" s="35"/>
      <c r="E154" s="35"/>
      <c r="F154" s="36"/>
    </row>
    <row r="155" spans="1:6" x14ac:dyDescent="0.3">
      <c r="A155" s="37"/>
      <c r="B155" s="38" t="s">
        <v>77</v>
      </c>
      <c r="C155" s="39" t="s">
        <v>19</v>
      </c>
      <c r="D155" s="72">
        <v>230</v>
      </c>
      <c r="E155" s="41">
        <f>'HARGA BAHAN'!E13</f>
        <v>2000</v>
      </c>
      <c r="F155" s="42">
        <f>+D155*E155</f>
        <v>460000</v>
      </c>
    </row>
    <row r="156" spans="1:6" x14ac:dyDescent="0.3">
      <c r="A156" s="67"/>
      <c r="B156" s="19" t="s">
        <v>81</v>
      </c>
      <c r="C156" s="20" t="s">
        <v>19</v>
      </c>
      <c r="D156" s="73">
        <v>893</v>
      </c>
      <c r="E156" s="22">
        <f>'HARGA BAHAN'!E16</f>
        <v>150</v>
      </c>
      <c r="F156" s="18">
        <f>+D156*E156</f>
        <v>133950</v>
      </c>
    </row>
    <row r="157" spans="1:6" x14ac:dyDescent="0.3">
      <c r="A157" s="67"/>
      <c r="B157" s="19" t="s">
        <v>687</v>
      </c>
      <c r="C157" s="20" t="s">
        <v>19</v>
      </c>
      <c r="D157" s="73">
        <v>1027</v>
      </c>
      <c r="E157" s="22">
        <f>'HARGA BAHAN'!E18</f>
        <v>270</v>
      </c>
      <c r="F157" s="18">
        <f>+D157*E157</f>
        <v>277290</v>
      </c>
    </row>
    <row r="158" spans="1:6" ht="17.25" thickBot="1" x14ac:dyDescent="0.35">
      <c r="A158" s="13"/>
      <c r="B158" s="14" t="s">
        <v>84</v>
      </c>
      <c r="C158" s="15" t="s">
        <v>80</v>
      </c>
      <c r="D158" s="74">
        <v>200</v>
      </c>
      <c r="E158" s="17">
        <f>'HARGA BAHAN'!E19</f>
        <v>120</v>
      </c>
      <c r="F158" s="71">
        <f>+D158*E158</f>
        <v>24000</v>
      </c>
    </row>
    <row r="159" spans="1:6" ht="17.25" thickBot="1" x14ac:dyDescent="0.35">
      <c r="A159" s="27"/>
      <c r="B159" s="43"/>
      <c r="C159" s="43"/>
      <c r="D159" s="44" t="s">
        <v>10</v>
      </c>
      <c r="E159" s="43"/>
      <c r="F159" s="32">
        <f>SUM(F155:F158)</f>
        <v>895240</v>
      </c>
    </row>
    <row r="160" spans="1:6" x14ac:dyDescent="0.3">
      <c r="A160" s="33" t="s">
        <v>11</v>
      </c>
      <c r="B160" s="34" t="s">
        <v>71</v>
      </c>
      <c r="C160" s="35"/>
      <c r="D160" s="35"/>
      <c r="E160" s="35"/>
      <c r="F160" s="36"/>
    </row>
    <row r="161" spans="1:6" ht="17.25" thickBot="1" x14ac:dyDescent="0.35">
      <c r="A161" s="45"/>
      <c r="B161" s="46"/>
      <c r="C161" s="47"/>
      <c r="D161" s="48"/>
      <c r="E161" s="49"/>
      <c r="F161" s="50"/>
    </row>
    <row r="162" spans="1:6" ht="17.25" thickBot="1" x14ac:dyDescent="0.35">
      <c r="A162" s="27"/>
      <c r="B162" s="28"/>
      <c r="C162" s="29"/>
      <c r="D162" s="30" t="s">
        <v>12</v>
      </c>
      <c r="E162" s="31"/>
      <c r="F162" s="32">
        <f>SUM(F161)</f>
        <v>0</v>
      </c>
    </row>
    <row r="163" spans="1:6" x14ac:dyDescent="0.3">
      <c r="A163" s="33" t="s">
        <v>13</v>
      </c>
      <c r="B163" s="34" t="s">
        <v>14</v>
      </c>
      <c r="C163" s="51"/>
      <c r="D163" s="51"/>
      <c r="E163" s="52"/>
      <c r="F163" s="53">
        <f>+F153+F159+F162</f>
        <v>1091340</v>
      </c>
    </row>
    <row r="164" spans="1:6" x14ac:dyDescent="0.3">
      <c r="A164" s="9" t="s">
        <v>15</v>
      </c>
      <c r="B164" s="10" t="s">
        <v>49</v>
      </c>
      <c r="C164" s="54"/>
      <c r="D164" s="54"/>
      <c r="E164" s="55"/>
      <c r="F164" s="56">
        <f>F163*15%</f>
        <v>163701</v>
      </c>
    </row>
    <row r="165" spans="1:6" ht="17.25" thickBot="1" x14ac:dyDescent="0.35">
      <c r="A165" s="57" t="s">
        <v>16</v>
      </c>
      <c r="B165" s="58" t="s">
        <v>17</v>
      </c>
      <c r="C165" s="59"/>
      <c r="D165" s="59"/>
      <c r="E165" s="60"/>
      <c r="F165" s="61">
        <f>SUM(F163:F164)</f>
        <v>1255041</v>
      </c>
    </row>
    <row r="167" spans="1:6" ht="17.25" thickBot="1" x14ac:dyDescent="0.35">
      <c r="A167" s="70" t="s">
        <v>59</v>
      </c>
      <c r="B167" s="1" t="s">
        <v>85</v>
      </c>
      <c r="C167" s="2"/>
      <c r="D167" s="2"/>
      <c r="E167" s="2"/>
      <c r="F167" s="2"/>
    </row>
    <row r="168" spans="1:6" ht="26.25" thickBot="1" x14ac:dyDescent="0.35">
      <c r="A168" s="3" t="s">
        <v>2</v>
      </c>
      <c r="B168" s="4" t="s">
        <v>3</v>
      </c>
      <c r="C168" s="4" t="s">
        <v>0</v>
      </c>
      <c r="D168" s="4" t="s">
        <v>4</v>
      </c>
      <c r="E168" s="4" t="s">
        <v>5</v>
      </c>
      <c r="F168" s="5" t="s">
        <v>6</v>
      </c>
    </row>
    <row r="169" spans="1:6" x14ac:dyDescent="0.3">
      <c r="A169" s="6">
        <v>1</v>
      </c>
      <c r="B169" s="7">
        <v>2</v>
      </c>
      <c r="C169" s="7">
        <v>3</v>
      </c>
      <c r="D169" s="7">
        <v>4</v>
      </c>
      <c r="E169" s="7">
        <v>5</v>
      </c>
      <c r="F169" s="8">
        <v>6</v>
      </c>
    </row>
    <row r="170" spans="1:6" x14ac:dyDescent="0.3">
      <c r="A170" s="9" t="s">
        <v>1</v>
      </c>
      <c r="B170" s="10" t="s">
        <v>69</v>
      </c>
      <c r="C170" s="11"/>
      <c r="D170" s="11"/>
      <c r="E170" s="11"/>
      <c r="F170" s="12"/>
    </row>
    <row r="171" spans="1:6" x14ac:dyDescent="0.3">
      <c r="A171" s="13"/>
      <c r="B171" s="14" t="s">
        <v>38</v>
      </c>
      <c r="C171" s="15" t="s">
        <v>7</v>
      </c>
      <c r="D171" s="16">
        <v>7.0000000000000007E-2</v>
      </c>
      <c r="E171" s="17">
        <f>'HARGA BAHAN'!E4</f>
        <v>125000</v>
      </c>
      <c r="F171" s="18">
        <f>+D171*E171</f>
        <v>8750</v>
      </c>
    </row>
    <row r="172" spans="1:6" x14ac:dyDescent="0.3">
      <c r="A172" s="13"/>
      <c r="B172" s="19" t="s">
        <v>78</v>
      </c>
      <c r="C172" s="20" t="s">
        <v>7</v>
      </c>
      <c r="D172" s="21">
        <v>7.0000000000000007E-2</v>
      </c>
      <c r="E172" s="17">
        <f>'HARGA BAHAN'!E5</f>
        <v>160000</v>
      </c>
      <c r="F172" s="18">
        <f>+D172*E172</f>
        <v>11200.000000000002</v>
      </c>
    </row>
    <row r="173" spans="1:6" x14ac:dyDescent="0.3">
      <c r="A173" s="13"/>
      <c r="B173" s="14" t="s">
        <v>79</v>
      </c>
      <c r="C173" s="15" t="s">
        <v>7</v>
      </c>
      <c r="D173" s="16">
        <v>7.0000000000000001E-3</v>
      </c>
      <c r="E173" s="17">
        <f>'HARGA BAHAN'!E6</f>
        <v>180000</v>
      </c>
      <c r="F173" s="18">
        <f>+D173*E173</f>
        <v>1260</v>
      </c>
    </row>
    <row r="174" spans="1:6" ht="17.25" thickBot="1" x14ac:dyDescent="0.35">
      <c r="A174" s="23"/>
      <c r="B174" s="24" t="s">
        <v>40</v>
      </c>
      <c r="C174" s="25" t="s">
        <v>7</v>
      </c>
      <c r="D174" s="26">
        <v>4.0000000000000001E-3</v>
      </c>
      <c r="E174" s="17">
        <f>'HARGA BAHAN'!E7</f>
        <v>175000</v>
      </c>
      <c r="F174" s="18">
        <f>+D174*E174</f>
        <v>700</v>
      </c>
    </row>
    <row r="175" spans="1:6" ht="17.25" thickBot="1" x14ac:dyDescent="0.35">
      <c r="A175" s="27"/>
      <c r="B175" s="28"/>
      <c r="C175" s="29"/>
      <c r="D175" s="30" t="s">
        <v>8</v>
      </c>
      <c r="E175" s="31"/>
      <c r="F175" s="32">
        <f>SUM(F171:F174)</f>
        <v>21910</v>
      </c>
    </row>
    <row r="176" spans="1:6" x14ac:dyDescent="0.3">
      <c r="A176" s="33" t="s">
        <v>9</v>
      </c>
      <c r="B176" s="34" t="s">
        <v>70</v>
      </c>
      <c r="C176" s="35"/>
      <c r="D176" s="35"/>
      <c r="E176" s="35"/>
      <c r="F176" s="36"/>
    </row>
    <row r="177" spans="1:6" x14ac:dyDescent="0.3">
      <c r="A177" s="37"/>
      <c r="B177" s="38" t="s">
        <v>86</v>
      </c>
      <c r="C177" s="39" t="s">
        <v>19</v>
      </c>
      <c r="D177" s="72">
        <v>10.5</v>
      </c>
      <c r="E177" s="41">
        <f>'HARGA BAHAN'!E20</f>
        <v>18000</v>
      </c>
      <c r="F177" s="42">
        <f>+D177*E177</f>
        <v>189000</v>
      </c>
    </row>
    <row r="178" spans="1:6" ht="17.25" thickBot="1" x14ac:dyDescent="0.35">
      <c r="A178" s="67"/>
      <c r="B178" s="19" t="s">
        <v>87</v>
      </c>
      <c r="C178" s="20" t="s">
        <v>19</v>
      </c>
      <c r="D178" s="73">
        <v>0.15</v>
      </c>
      <c r="E178" s="22">
        <f>'HARGA BAHAN'!E21</f>
        <v>30000</v>
      </c>
      <c r="F178" s="18">
        <f>+D178*E178</f>
        <v>4500</v>
      </c>
    </row>
    <row r="179" spans="1:6" ht="17.25" thickBot="1" x14ac:dyDescent="0.35">
      <c r="A179" s="27"/>
      <c r="B179" s="43"/>
      <c r="C179" s="43"/>
      <c r="D179" s="44" t="s">
        <v>10</v>
      </c>
      <c r="E179" s="43"/>
      <c r="F179" s="32">
        <f>SUM(F177:F178)</f>
        <v>193500</v>
      </c>
    </row>
    <row r="180" spans="1:6" x14ac:dyDescent="0.3">
      <c r="A180" s="33" t="s">
        <v>11</v>
      </c>
      <c r="B180" s="34" t="s">
        <v>71</v>
      </c>
      <c r="C180" s="35"/>
      <c r="D180" s="35"/>
      <c r="E180" s="35"/>
      <c r="F180" s="36"/>
    </row>
    <row r="181" spans="1:6" ht="17.25" thickBot="1" x14ac:dyDescent="0.35">
      <c r="A181" s="45"/>
      <c r="B181" s="46"/>
      <c r="C181" s="47"/>
      <c r="D181" s="48"/>
      <c r="E181" s="49"/>
      <c r="F181" s="50"/>
    </row>
    <row r="182" spans="1:6" ht="17.25" thickBot="1" x14ac:dyDescent="0.35">
      <c r="A182" s="27"/>
      <c r="B182" s="28"/>
      <c r="C182" s="29"/>
      <c r="D182" s="30" t="s">
        <v>12</v>
      </c>
      <c r="E182" s="31"/>
      <c r="F182" s="32">
        <f>SUM(F181)</f>
        <v>0</v>
      </c>
    </row>
    <row r="183" spans="1:6" x14ac:dyDescent="0.3">
      <c r="A183" s="33" t="s">
        <v>13</v>
      </c>
      <c r="B183" s="34" t="s">
        <v>14</v>
      </c>
      <c r="C183" s="51"/>
      <c r="D183" s="51"/>
      <c r="E183" s="52"/>
      <c r="F183" s="53">
        <f>+F175+F179+F182</f>
        <v>215410</v>
      </c>
    </row>
    <row r="184" spans="1:6" x14ac:dyDescent="0.3">
      <c r="A184" s="9" t="s">
        <v>15</v>
      </c>
      <c r="B184" s="10" t="s">
        <v>49</v>
      </c>
      <c r="C184" s="54"/>
      <c r="D184" s="54"/>
      <c r="E184" s="55"/>
      <c r="F184" s="56">
        <f>F183*15%</f>
        <v>32311.5</v>
      </c>
    </row>
    <row r="185" spans="1:6" ht="17.25" thickBot="1" x14ac:dyDescent="0.35">
      <c r="A185" s="57" t="s">
        <v>16</v>
      </c>
      <c r="B185" s="58" t="s">
        <v>17</v>
      </c>
      <c r="C185" s="59"/>
      <c r="D185" s="59"/>
      <c r="E185" s="60"/>
      <c r="F185" s="61">
        <f>SUM(F183:F184)</f>
        <v>247721.5</v>
      </c>
    </row>
    <row r="186" spans="1:6" ht="17.25" thickBot="1" x14ac:dyDescent="0.35">
      <c r="A186" s="284"/>
      <c r="B186" s="285"/>
      <c r="C186" s="285"/>
      <c r="D186" s="285"/>
      <c r="E186" s="75" t="s">
        <v>89</v>
      </c>
      <c r="F186" s="61">
        <f>F185/10</f>
        <v>24772.15</v>
      </c>
    </row>
    <row r="188" spans="1:6" ht="17.25" thickBot="1" x14ac:dyDescent="0.35">
      <c r="A188" s="70" t="s">
        <v>202</v>
      </c>
      <c r="B188" s="1" t="s">
        <v>203</v>
      </c>
      <c r="C188" s="2"/>
      <c r="D188" s="2"/>
      <c r="E188" s="2"/>
      <c r="F188" s="2"/>
    </row>
    <row r="189" spans="1:6" ht="26.25" thickBot="1" x14ac:dyDescent="0.35">
      <c r="A189" s="3" t="s">
        <v>2</v>
      </c>
      <c r="B189" s="4" t="s">
        <v>3</v>
      </c>
      <c r="C189" s="4" t="s">
        <v>0</v>
      </c>
      <c r="D189" s="4" t="s">
        <v>4</v>
      </c>
      <c r="E189" s="4" t="s">
        <v>5</v>
      </c>
      <c r="F189" s="5" t="s">
        <v>6</v>
      </c>
    </row>
    <row r="190" spans="1:6" x14ac:dyDescent="0.3">
      <c r="A190" s="6">
        <v>1</v>
      </c>
      <c r="B190" s="7">
        <v>2</v>
      </c>
      <c r="C190" s="7">
        <v>3</v>
      </c>
      <c r="D190" s="7">
        <v>4</v>
      </c>
      <c r="E190" s="7">
        <v>5</v>
      </c>
      <c r="F190" s="8">
        <v>6</v>
      </c>
    </row>
    <row r="191" spans="1:6" x14ac:dyDescent="0.3">
      <c r="A191" s="9" t="s">
        <v>1</v>
      </c>
      <c r="B191" s="10" t="s">
        <v>69</v>
      </c>
      <c r="C191" s="11"/>
      <c r="D191" s="11"/>
      <c r="E191" s="11"/>
      <c r="F191" s="12"/>
    </row>
    <row r="192" spans="1:6" x14ac:dyDescent="0.3">
      <c r="A192" s="13"/>
      <c r="B192" s="14" t="s">
        <v>38</v>
      </c>
      <c r="C192" s="15" t="s">
        <v>7</v>
      </c>
      <c r="D192" s="16">
        <v>1.65</v>
      </c>
      <c r="E192" s="17">
        <f>'HARGA BAHAN'!E4</f>
        <v>125000</v>
      </c>
      <c r="F192" s="18">
        <f>+D192*E192</f>
        <v>206250</v>
      </c>
    </row>
    <row r="193" spans="1:6" x14ac:dyDescent="0.3">
      <c r="A193" s="13"/>
      <c r="B193" s="19" t="s">
        <v>78</v>
      </c>
      <c r="C193" s="20" t="s">
        <v>7</v>
      </c>
      <c r="D193" s="21">
        <v>0.27500000000000002</v>
      </c>
      <c r="E193" s="17">
        <f>'HARGA BAHAN'!E5</f>
        <v>160000</v>
      </c>
      <c r="F193" s="18">
        <f>+D193*E193</f>
        <v>44000</v>
      </c>
    </row>
    <row r="194" spans="1:6" x14ac:dyDescent="0.3">
      <c r="A194" s="13"/>
      <c r="B194" s="14" t="s">
        <v>79</v>
      </c>
      <c r="C194" s="15" t="s">
        <v>7</v>
      </c>
      <c r="D194" s="16">
        <v>2.8000000000000001E-2</v>
      </c>
      <c r="E194" s="17">
        <f>'HARGA BAHAN'!E6</f>
        <v>180000</v>
      </c>
      <c r="F194" s="18">
        <f>+D194*E194</f>
        <v>5040</v>
      </c>
    </row>
    <row r="195" spans="1:6" ht="17.25" thickBot="1" x14ac:dyDescent="0.35">
      <c r="A195" s="23"/>
      <c r="B195" s="24" t="s">
        <v>40</v>
      </c>
      <c r="C195" s="25" t="s">
        <v>7</v>
      </c>
      <c r="D195" s="26">
        <v>8.3000000000000004E-2</v>
      </c>
      <c r="E195" s="17">
        <f>'HARGA BAHAN'!E7</f>
        <v>175000</v>
      </c>
      <c r="F195" s="18">
        <f>+D195*E195</f>
        <v>14525</v>
      </c>
    </row>
    <row r="196" spans="1:6" ht="17.25" thickBot="1" x14ac:dyDescent="0.35">
      <c r="A196" s="27"/>
      <c r="B196" s="28"/>
      <c r="C196" s="29"/>
      <c r="D196" s="30" t="s">
        <v>8</v>
      </c>
      <c r="E196" s="31"/>
      <c r="F196" s="32">
        <f>SUM(F192:F195)</f>
        <v>269815</v>
      </c>
    </row>
    <row r="197" spans="1:6" x14ac:dyDescent="0.3">
      <c r="A197" s="33" t="s">
        <v>9</v>
      </c>
      <c r="B197" s="34" t="s">
        <v>70</v>
      </c>
      <c r="C197" s="35"/>
      <c r="D197" s="35"/>
      <c r="E197" s="35"/>
      <c r="F197" s="36"/>
    </row>
    <row r="198" spans="1:6" x14ac:dyDescent="0.3">
      <c r="A198" s="37"/>
      <c r="B198" s="38" t="s">
        <v>77</v>
      </c>
      <c r="C198" s="39" t="s">
        <v>19</v>
      </c>
      <c r="D198" s="72">
        <v>358</v>
      </c>
      <c r="E198" s="41">
        <f>'HARGA BAHAN'!E13</f>
        <v>2000</v>
      </c>
      <c r="F198" s="42">
        <f>+D198*E198</f>
        <v>716000</v>
      </c>
    </row>
    <row r="199" spans="1:6" x14ac:dyDescent="0.3">
      <c r="A199" s="67"/>
      <c r="B199" s="19" t="s">
        <v>81</v>
      </c>
      <c r="C199" s="20" t="s">
        <v>19</v>
      </c>
      <c r="D199" s="73">
        <v>698</v>
      </c>
      <c r="E199" s="22">
        <f>'HARGA BAHAN'!E16</f>
        <v>150</v>
      </c>
      <c r="F199" s="18">
        <f>+D199*E199</f>
        <v>104700</v>
      </c>
    </row>
    <row r="200" spans="1:6" x14ac:dyDescent="0.3">
      <c r="A200" s="67"/>
      <c r="B200" s="19" t="s">
        <v>82</v>
      </c>
      <c r="C200" s="20" t="s">
        <v>19</v>
      </c>
      <c r="D200" s="73">
        <v>1047</v>
      </c>
      <c r="E200" s="22">
        <f>'HARGA BAHAN'!E18</f>
        <v>270</v>
      </c>
      <c r="F200" s="18">
        <f>+D200*E200</f>
        <v>282690</v>
      </c>
    </row>
    <row r="201" spans="1:6" ht="17.25" thickBot="1" x14ac:dyDescent="0.35">
      <c r="A201" s="13"/>
      <c r="B201" s="14" t="s">
        <v>84</v>
      </c>
      <c r="C201" s="15" t="s">
        <v>80</v>
      </c>
      <c r="D201" s="74">
        <v>215</v>
      </c>
      <c r="E201" s="17">
        <f>'HARGA BAHAN'!E19</f>
        <v>120</v>
      </c>
      <c r="F201" s="71">
        <f>+D201*E201</f>
        <v>25800</v>
      </c>
    </row>
    <row r="202" spans="1:6" ht="17.25" thickBot="1" x14ac:dyDescent="0.35">
      <c r="A202" s="27"/>
      <c r="B202" s="43"/>
      <c r="C202" s="43"/>
      <c r="D202" s="44" t="s">
        <v>10</v>
      </c>
      <c r="E202" s="43"/>
      <c r="F202" s="32">
        <f>SUM(F198:F201)</f>
        <v>1129190</v>
      </c>
    </row>
    <row r="203" spans="1:6" x14ac:dyDescent="0.3">
      <c r="A203" s="33" t="s">
        <v>11</v>
      </c>
      <c r="B203" s="34" t="s">
        <v>71</v>
      </c>
      <c r="C203" s="35"/>
      <c r="D203" s="35"/>
      <c r="E203" s="35"/>
      <c r="F203" s="36"/>
    </row>
    <row r="204" spans="1:6" ht="17.25" thickBot="1" x14ac:dyDescent="0.35">
      <c r="A204" s="45"/>
      <c r="B204" s="46"/>
      <c r="C204" s="47"/>
      <c r="D204" s="48"/>
      <c r="E204" s="49"/>
      <c r="F204" s="50"/>
    </row>
    <row r="205" spans="1:6" ht="17.25" thickBot="1" x14ac:dyDescent="0.35">
      <c r="A205" s="27"/>
      <c r="B205" s="28"/>
      <c r="C205" s="29"/>
      <c r="D205" s="30" t="s">
        <v>12</v>
      </c>
      <c r="E205" s="31"/>
      <c r="F205" s="32">
        <f>SUM(F204)</f>
        <v>0</v>
      </c>
    </row>
    <row r="206" spans="1:6" x14ac:dyDescent="0.3">
      <c r="A206" s="33" t="s">
        <v>13</v>
      </c>
      <c r="B206" s="34" t="s">
        <v>14</v>
      </c>
      <c r="C206" s="51"/>
      <c r="D206" s="51"/>
      <c r="E206" s="52"/>
      <c r="F206" s="53">
        <f>+F196+F202+F205</f>
        <v>1399005</v>
      </c>
    </row>
    <row r="207" spans="1:6" x14ac:dyDescent="0.3">
      <c r="A207" s="9" t="s">
        <v>15</v>
      </c>
      <c r="B207" s="10" t="s">
        <v>49</v>
      </c>
      <c r="C207" s="54"/>
      <c r="D207" s="54"/>
      <c r="E207" s="55"/>
      <c r="F207" s="56">
        <f>F206*15%</f>
        <v>209850.75</v>
      </c>
    </row>
    <row r="208" spans="1:6" ht="17.25" thickBot="1" x14ac:dyDescent="0.35">
      <c r="A208" s="57" t="s">
        <v>16</v>
      </c>
      <c r="B208" s="58" t="s">
        <v>17</v>
      </c>
      <c r="C208" s="59"/>
      <c r="D208" s="59"/>
      <c r="E208" s="60"/>
      <c r="F208" s="61">
        <f>SUM(F206:F207)</f>
        <v>1608855.75</v>
      </c>
    </row>
    <row r="210" spans="1:6" ht="17.25" thickBot="1" x14ac:dyDescent="0.35">
      <c r="A210" s="70" t="s">
        <v>710</v>
      </c>
      <c r="B210" s="1" t="s">
        <v>711</v>
      </c>
      <c r="C210" s="2"/>
      <c r="D210" s="2"/>
      <c r="E210" s="2"/>
      <c r="F210" s="2"/>
    </row>
    <row r="211" spans="1:6" ht="26.25" thickBot="1" x14ac:dyDescent="0.35">
      <c r="A211" s="3" t="s">
        <v>2</v>
      </c>
      <c r="B211" s="4" t="s">
        <v>3</v>
      </c>
      <c r="C211" s="4" t="s">
        <v>0</v>
      </c>
      <c r="D211" s="4" t="s">
        <v>4</v>
      </c>
      <c r="E211" s="4" t="s">
        <v>5</v>
      </c>
      <c r="F211" s="5" t="s">
        <v>6</v>
      </c>
    </row>
    <row r="212" spans="1:6" x14ac:dyDescent="0.3">
      <c r="A212" s="6">
        <v>1</v>
      </c>
      <c r="B212" s="7">
        <v>2</v>
      </c>
      <c r="C212" s="7">
        <v>3</v>
      </c>
      <c r="D212" s="7">
        <v>4</v>
      </c>
      <c r="E212" s="7">
        <v>5</v>
      </c>
      <c r="F212" s="8">
        <v>6</v>
      </c>
    </row>
    <row r="213" spans="1:6" x14ac:dyDescent="0.3">
      <c r="A213" s="9" t="s">
        <v>1</v>
      </c>
      <c r="B213" s="10" t="s">
        <v>69</v>
      </c>
      <c r="C213" s="11"/>
      <c r="D213" s="11"/>
      <c r="E213" s="11"/>
      <c r="F213" s="12"/>
    </row>
    <row r="214" spans="1:6" x14ac:dyDescent="0.3">
      <c r="A214" s="13"/>
      <c r="B214" s="14" t="s">
        <v>38</v>
      </c>
      <c r="C214" s="15" t="s">
        <v>7</v>
      </c>
      <c r="D214" s="16">
        <v>1.65</v>
      </c>
      <c r="E214" s="17">
        <f>'HARGA BAHAN'!E4</f>
        <v>125000</v>
      </c>
      <c r="F214" s="18">
        <f>+D214*E214</f>
        <v>206250</v>
      </c>
    </row>
    <row r="215" spans="1:6" x14ac:dyDescent="0.3">
      <c r="A215" s="13"/>
      <c r="B215" s="19" t="s">
        <v>712</v>
      </c>
      <c r="C215" s="20" t="s">
        <v>7</v>
      </c>
      <c r="D215" s="21">
        <v>0.27500000000000002</v>
      </c>
      <c r="E215" s="17">
        <f>'HARGA BAHAN'!E5</f>
        <v>160000</v>
      </c>
      <c r="F215" s="18">
        <f>+D215*E215</f>
        <v>44000</v>
      </c>
    </row>
    <row r="216" spans="1:6" x14ac:dyDescent="0.3">
      <c r="A216" s="13"/>
      <c r="B216" s="14" t="s">
        <v>79</v>
      </c>
      <c r="C216" s="15" t="s">
        <v>7</v>
      </c>
      <c r="D216" s="16">
        <v>2.8000000000000001E-2</v>
      </c>
      <c r="E216" s="17">
        <f>'HARGA BAHAN'!E6</f>
        <v>180000</v>
      </c>
      <c r="F216" s="18">
        <f>+D216*E216</f>
        <v>5040</v>
      </c>
    </row>
    <row r="217" spans="1:6" ht="17.25" thickBot="1" x14ac:dyDescent="0.35">
      <c r="A217" s="23"/>
      <c r="B217" s="24" t="s">
        <v>40</v>
      </c>
      <c r="C217" s="25" t="s">
        <v>7</v>
      </c>
      <c r="D217" s="26">
        <v>8.3000000000000004E-2</v>
      </c>
      <c r="E217" s="17">
        <f>'HARGA BAHAN'!E7</f>
        <v>175000</v>
      </c>
      <c r="F217" s="18">
        <f>+D217*E217</f>
        <v>14525</v>
      </c>
    </row>
    <row r="218" spans="1:6" ht="17.25" thickBot="1" x14ac:dyDescent="0.35">
      <c r="A218" s="27"/>
      <c r="B218" s="28"/>
      <c r="C218" s="29"/>
      <c r="D218" s="30" t="s">
        <v>8</v>
      </c>
      <c r="E218" s="31"/>
      <c r="F218" s="32">
        <f>SUM(F214:F217)</f>
        <v>269815</v>
      </c>
    </row>
    <row r="219" spans="1:6" x14ac:dyDescent="0.3">
      <c r="A219" s="33" t="s">
        <v>9</v>
      </c>
      <c r="B219" s="34" t="s">
        <v>70</v>
      </c>
      <c r="C219" s="35"/>
      <c r="D219" s="35"/>
      <c r="E219" s="35"/>
      <c r="F219" s="36"/>
    </row>
    <row r="220" spans="1:6" x14ac:dyDescent="0.3">
      <c r="A220" s="37"/>
      <c r="B220" s="38" t="s">
        <v>77</v>
      </c>
      <c r="C220" s="39" t="s">
        <v>19</v>
      </c>
      <c r="D220" s="72">
        <v>371</v>
      </c>
      <c r="E220" s="41">
        <f>'HARGA BAHAN'!E13</f>
        <v>2000</v>
      </c>
      <c r="F220" s="42">
        <f>+D220*E220</f>
        <v>742000</v>
      </c>
    </row>
    <row r="221" spans="1:6" x14ac:dyDescent="0.3">
      <c r="A221" s="67"/>
      <c r="B221" s="19" t="s">
        <v>81</v>
      </c>
      <c r="C221" s="20" t="s">
        <v>19</v>
      </c>
      <c r="D221" s="73">
        <v>698</v>
      </c>
      <c r="E221" s="22">
        <f>'HARGA BAHAN'!E16</f>
        <v>150</v>
      </c>
      <c r="F221" s="18">
        <f>+D221*E221</f>
        <v>104700</v>
      </c>
    </row>
    <row r="222" spans="1:6" x14ac:dyDescent="0.3">
      <c r="A222" s="67"/>
      <c r="B222" s="19" t="s">
        <v>82</v>
      </c>
      <c r="C222" s="20" t="s">
        <v>19</v>
      </c>
      <c r="D222" s="73">
        <v>1047</v>
      </c>
      <c r="E222" s="22">
        <f>'HARGA BAHAN'!E18</f>
        <v>270</v>
      </c>
      <c r="F222" s="18">
        <f>+D222*E222</f>
        <v>282690</v>
      </c>
    </row>
    <row r="223" spans="1:6" ht="17.25" thickBot="1" x14ac:dyDescent="0.35">
      <c r="A223" s="13"/>
      <c r="B223" s="14" t="s">
        <v>84</v>
      </c>
      <c r="C223" s="15" t="s">
        <v>80</v>
      </c>
      <c r="D223" s="74">
        <v>215</v>
      </c>
      <c r="E223" s="17">
        <f>'HARGA BAHAN'!E19</f>
        <v>120</v>
      </c>
      <c r="F223" s="71">
        <f>+D223*E223</f>
        <v>25800</v>
      </c>
    </row>
    <row r="224" spans="1:6" ht="17.25" thickBot="1" x14ac:dyDescent="0.35">
      <c r="A224" s="27"/>
      <c r="B224" s="43"/>
      <c r="C224" s="43"/>
      <c r="D224" s="44" t="s">
        <v>10</v>
      </c>
      <c r="E224" s="43"/>
      <c r="F224" s="32">
        <f>SUM(F220:F223)</f>
        <v>1155190</v>
      </c>
    </row>
    <row r="225" spans="1:6" x14ac:dyDescent="0.3">
      <c r="A225" s="33" t="s">
        <v>11</v>
      </c>
      <c r="B225" s="34" t="s">
        <v>71</v>
      </c>
      <c r="C225" s="35"/>
      <c r="D225" s="35"/>
      <c r="E225" s="35"/>
      <c r="F225" s="36"/>
    </row>
    <row r="226" spans="1:6" ht="17.25" thickBot="1" x14ac:dyDescent="0.35">
      <c r="A226" s="45"/>
      <c r="B226" s="46"/>
      <c r="C226" s="47"/>
      <c r="D226" s="48"/>
      <c r="E226" s="49"/>
      <c r="F226" s="50"/>
    </row>
    <row r="227" spans="1:6" ht="17.25" thickBot="1" x14ac:dyDescent="0.35">
      <c r="A227" s="27"/>
      <c r="B227" s="28"/>
      <c r="C227" s="29"/>
      <c r="D227" s="30" t="s">
        <v>12</v>
      </c>
      <c r="E227" s="31"/>
      <c r="F227" s="32">
        <f>SUM(F226)</f>
        <v>0</v>
      </c>
    </row>
    <row r="228" spans="1:6" x14ac:dyDescent="0.3">
      <c r="A228" s="33" t="s">
        <v>13</v>
      </c>
      <c r="B228" s="34" t="s">
        <v>14</v>
      </c>
      <c r="C228" s="51"/>
      <c r="D228" s="51"/>
      <c r="E228" s="52"/>
      <c r="F228" s="53">
        <f>+F218+F224+F227</f>
        <v>1425005</v>
      </c>
    </row>
    <row r="229" spans="1:6" x14ac:dyDescent="0.3">
      <c r="A229" s="9" t="s">
        <v>15</v>
      </c>
      <c r="B229" s="10" t="s">
        <v>49</v>
      </c>
      <c r="C229" s="54"/>
      <c r="D229" s="54"/>
      <c r="E229" s="55"/>
      <c r="F229" s="56">
        <f>F228*15%</f>
        <v>213750.75</v>
      </c>
    </row>
    <row r="230" spans="1:6" ht="17.25" thickBot="1" x14ac:dyDescent="0.35">
      <c r="A230" s="57" t="s">
        <v>16</v>
      </c>
      <c r="B230" s="58" t="s">
        <v>17</v>
      </c>
      <c r="C230" s="59"/>
      <c r="D230" s="59"/>
      <c r="E230" s="60"/>
      <c r="F230" s="61">
        <f>SUM(F228:F229)</f>
        <v>1638755.75</v>
      </c>
    </row>
    <row r="232" spans="1:6" ht="17.25" thickBot="1" x14ac:dyDescent="0.35">
      <c r="A232" s="70" t="s">
        <v>570</v>
      </c>
      <c r="B232" s="1" t="s">
        <v>571</v>
      </c>
      <c r="C232" s="2"/>
      <c r="D232" s="2"/>
      <c r="E232" s="2"/>
      <c r="F232" s="2"/>
    </row>
    <row r="233" spans="1:6" ht="26.25" thickBot="1" x14ac:dyDescent="0.35">
      <c r="A233" s="3" t="s">
        <v>2</v>
      </c>
      <c r="B233" s="4" t="s">
        <v>3</v>
      </c>
      <c r="C233" s="4" t="s">
        <v>0</v>
      </c>
      <c r="D233" s="4" t="s">
        <v>4</v>
      </c>
      <c r="E233" s="4" t="s">
        <v>5</v>
      </c>
      <c r="F233" s="5" t="s">
        <v>6</v>
      </c>
    </row>
    <row r="234" spans="1:6" x14ac:dyDescent="0.3">
      <c r="A234" s="6">
        <v>1</v>
      </c>
      <c r="B234" s="7">
        <v>2</v>
      </c>
      <c r="C234" s="7">
        <v>3</v>
      </c>
      <c r="D234" s="7">
        <v>4</v>
      </c>
      <c r="E234" s="7">
        <v>5</v>
      </c>
      <c r="F234" s="8">
        <v>6</v>
      </c>
    </row>
    <row r="235" spans="1:6" x14ac:dyDescent="0.3">
      <c r="A235" s="9" t="s">
        <v>1</v>
      </c>
      <c r="B235" s="10" t="s">
        <v>69</v>
      </c>
      <c r="C235" s="11"/>
      <c r="D235" s="11"/>
      <c r="E235" s="11"/>
      <c r="F235" s="12"/>
    </row>
    <row r="236" spans="1:6" x14ac:dyDescent="0.3">
      <c r="A236" s="13"/>
      <c r="B236" s="14" t="s">
        <v>38</v>
      </c>
      <c r="C236" s="15" t="s">
        <v>7</v>
      </c>
      <c r="D236" s="16">
        <v>4.2999999999999997E-2</v>
      </c>
      <c r="E236" s="17">
        <f>'HARGA BAHAN'!E4</f>
        <v>125000</v>
      </c>
      <c r="F236" s="18">
        <f>+D236*E236</f>
        <v>5375</v>
      </c>
    </row>
    <row r="237" spans="1:6" x14ac:dyDescent="0.3">
      <c r="A237" s="13"/>
      <c r="B237" s="19" t="s">
        <v>279</v>
      </c>
      <c r="C237" s="20" t="s">
        <v>7</v>
      </c>
      <c r="D237" s="21">
        <v>4.2999999999999997E-2</v>
      </c>
      <c r="E237" s="17">
        <f>'HARGA BAHAN'!E5</f>
        <v>160000</v>
      </c>
      <c r="F237" s="18">
        <f>+D237*E237</f>
        <v>6879.9999999999991</v>
      </c>
    </row>
    <row r="238" spans="1:6" x14ac:dyDescent="0.3">
      <c r="A238" s="13"/>
      <c r="B238" s="14" t="s">
        <v>79</v>
      </c>
      <c r="C238" s="15" t="s">
        <v>7</v>
      </c>
      <c r="D238" s="16">
        <v>4.3E-3</v>
      </c>
      <c r="E238" s="17">
        <f>'HARGA BAHAN'!E6</f>
        <v>180000</v>
      </c>
      <c r="F238" s="18">
        <f>+D238*E238</f>
        <v>774</v>
      </c>
    </row>
    <row r="239" spans="1:6" ht="17.25" thickBot="1" x14ac:dyDescent="0.35">
      <c r="A239" s="23"/>
      <c r="B239" s="24" t="s">
        <v>40</v>
      </c>
      <c r="C239" s="25" t="s">
        <v>7</v>
      </c>
      <c r="D239" s="26">
        <v>2.0999999999999999E-3</v>
      </c>
      <c r="E239" s="17">
        <f>'HARGA BAHAN'!E7</f>
        <v>175000</v>
      </c>
      <c r="F239" s="18">
        <f>+D239*E239</f>
        <v>367.5</v>
      </c>
    </row>
    <row r="240" spans="1:6" ht="17.25" thickBot="1" x14ac:dyDescent="0.35">
      <c r="A240" s="27"/>
      <c r="B240" s="28"/>
      <c r="C240" s="29"/>
      <c r="D240" s="30" t="s">
        <v>8</v>
      </c>
      <c r="E240" s="31"/>
      <c r="F240" s="32">
        <f>SUM(F236:F239)</f>
        <v>13396.5</v>
      </c>
    </row>
    <row r="241" spans="1:6" x14ac:dyDescent="0.3">
      <c r="A241" s="33" t="s">
        <v>9</v>
      </c>
      <c r="B241" s="34" t="s">
        <v>70</v>
      </c>
      <c r="C241" s="35"/>
      <c r="D241" s="35"/>
      <c r="E241" s="35"/>
      <c r="F241" s="36"/>
    </row>
    <row r="242" spans="1:6" x14ac:dyDescent="0.3">
      <c r="A242" s="37"/>
      <c r="B242" s="38" t="s">
        <v>572</v>
      </c>
      <c r="C242" s="39" t="s">
        <v>177</v>
      </c>
      <c r="D242" s="40">
        <v>1.1000000000000001</v>
      </c>
      <c r="E242" s="41">
        <f>'HARGA BAHAN'!E47</f>
        <v>120000</v>
      </c>
      <c r="F242" s="42">
        <f>+D242*E242</f>
        <v>132000</v>
      </c>
    </row>
    <row r="243" spans="1:6" x14ac:dyDescent="0.3">
      <c r="A243" s="67"/>
      <c r="B243" s="19" t="s">
        <v>573</v>
      </c>
      <c r="C243" s="20" t="s">
        <v>137</v>
      </c>
      <c r="D243" s="21">
        <v>2</v>
      </c>
      <c r="E243" s="22">
        <f>'HARGA BAHAN'!E48</f>
        <v>4000</v>
      </c>
      <c r="F243" s="18">
        <f>+D243*E243</f>
        <v>8000</v>
      </c>
    </row>
    <row r="244" spans="1:6" ht="17.25" thickBot="1" x14ac:dyDescent="0.35">
      <c r="A244" s="13"/>
      <c r="B244" s="14" t="s">
        <v>574</v>
      </c>
      <c r="C244" s="15" t="s">
        <v>186</v>
      </c>
      <c r="D244" s="16">
        <v>0.06</v>
      </c>
      <c r="E244" s="17">
        <f>'HARGA BAHAN'!E98</f>
        <v>150000</v>
      </c>
      <c r="F244" s="18">
        <f>+D244*E244</f>
        <v>9000</v>
      </c>
    </row>
    <row r="245" spans="1:6" ht="17.25" thickBot="1" x14ac:dyDescent="0.35">
      <c r="A245" s="27"/>
      <c r="B245" s="43"/>
      <c r="C245" s="43"/>
      <c r="D245" s="44" t="s">
        <v>10</v>
      </c>
      <c r="E245" s="43"/>
      <c r="F245" s="32">
        <f>SUM(F242:F244)</f>
        <v>149000</v>
      </c>
    </row>
    <row r="246" spans="1:6" x14ac:dyDescent="0.3">
      <c r="A246" s="33" t="s">
        <v>11</v>
      </c>
      <c r="B246" s="34" t="s">
        <v>71</v>
      </c>
      <c r="C246" s="35"/>
      <c r="D246" s="35"/>
      <c r="E246" s="35"/>
      <c r="F246" s="36"/>
    </row>
    <row r="247" spans="1:6" ht="17.25" thickBot="1" x14ac:dyDescent="0.35">
      <c r="A247" s="45"/>
      <c r="B247" s="46"/>
      <c r="C247" s="47"/>
      <c r="D247" s="48"/>
      <c r="E247" s="49"/>
      <c r="F247" s="50"/>
    </row>
    <row r="248" spans="1:6" ht="17.25" thickBot="1" x14ac:dyDescent="0.35">
      <c r="A248" s="27"/>
      <c r="B248" s="28"/>
      <c r="C248" s="29"/>
      <c r="D248" s="30" t="s">
        <v>12</v>
      </c>
      <c r="E248" s="31"/>
      <c r="F248" s="32">
        <f>SUM(F247)</f>
        <v>0</v>
      </c>
    </row>
    <row r="249" spans="1:6" x14ac:dyDescent="0.3">
      <c r="A249" s="33" t="s">
        <v>13</v>
      </c>
      <c r="B249" s="34" t="s">
        <v>14</v>
      </c>
      <c r="C249" s="51"/>
      <c r="D249" s="51"/>
      <c r="E249" s="52"/>
      <c r="F249" s="53">
        <f>+F240+F245+F248</f>
        <v>162396.5</v>
      </c>
    </row>
    <row r="250" spans="1:6" x14ac:dyDescent="0.3">
      <c r="A250" s="9" t="s">
        <v>15</v>
      </c>
      <c r="B250" s="10" t="s">
        <v>49</v>
      </c>
      <c r="C250" s="54"/>
      <c r="D250" s="54"/>
      <c r="E250" s="55"/>
      <c r="F250" s="56">
        <f>F249*15%</f>
        <v>24359.474999999999</v>
      </c>
    </row>
    <row r="251" spans="1:6" ht="17.25" thickBot="1" x14ac:dyDescent="0.35">
      <c r="A251" s="57" t="s">
        <v>16</v>
      </c>
      <c r="B251" s="58" t="s">
        <v>17</v>
      </c>
      <c r="C251" s="59"/>
      <c r="D251" s="59"/>
      <c r="E251" s="60"/>
      <c r="F251" s="61">
        <f>SUM(F249:F250)</f>
        <v>186755.97500000001</v>
      </c>
    </row>
    <row r="253" spans="1:6" ht="17.25" thickBot="1" x14ac:dyDescent="0.35">
      <c r="A253" s="70" t="s">
        <v>60</v>
      </c>
      <c r="B253" s="1" t="s">
        <v>94</v>
      </c>
      <c r="C253" s="2"/>
      <c r="D253" s="2"/>
      <c r="E253" s="2"/>
      <c r="F253" s="2"/>
    </row>
    <row r="254" spans="1:6" ht="26.25" thickBot="1" x14ac:dyDescent="0.35">
      <c r="A254" s="3" t="s">
        <v>2</v>
      </c>
      <c r="B254" s="4" t="s">
        <v>3</v>
      </c>
      <c r="C254" s="4" t="s">
        <v>0</v>
      </c>
      <c r="D254" s="4" t="s">
        <v>4</v>
      </c>
      <c r="E254" s="4" t="s">
        <v>5</v>
      </c>
      <c r="F254" s="5" t="s">
        <v>6</v>
      </c>
    </row>
    <row r="255" spans="1:6" x14ac:dyDescent="0.3">
      <c r="A255" s="6">
        <v>1</v>
      </c>
      <c r="B255" s="7">
        <v>2</v>
      </c>
      <c r="C255" s="7">
        <v>3</v>
      </c>
      <c r="D255" s="7">
        <v>4</v>
      </c>
      <c r="E255" s="7">
        <v>5</v>
      </c>
      <c r="F255" s="8">
        <v>6</v>
      </c>
    </row>
    <row r="256" spans="1:6" x14ac:dyDescent="0.3">
      <c r="A256" s="9" t="s">
        <v>1</v>
      </c>
      <c r="B256" s="10" t="s">
        <v>69</v>
      </c>
      <c r="C256" s="11"/>
      <c r="D256" s="11"/>
      <c r="E256" s="11"/>
      <c r="F256" s="12"/>
    </row>
    <row r="257" spans="1:6" x14ac:dyDescent="0.3">
      <c r="A257" s="13"/>
      <c r="B257" s="14" t="s">
        <v>38</v>
      </c>
      <c r="C257" s="15" t="s">
        <v>7</v>
      </c>
      <c r="D257" s="16">
        <v>0.25</v>
      </c>
      <c r="E257" s="17">
        <f>'HARGA BAHAN'!E4</f>
        <v>125000</v>
      </c>
      <c r="F257" s="18">
        <f>+D257*E257</f>
        <v>31250</v>
      </c>
    </row>
    <row r="258" spans="1:6" ht="17.25" thickBot="1" x14ac:dyDescent="0.35">
      <c r="A258" s="23"/>
      <c r="B258" s="24" t="s">
        <v>40</v>
      </c>
      <c r="C258" s="25" t="s">
        <v>7</v>
      </c>
      <c r="D258" s="26">
        <v>2.5000000000000001E-2</v>
      </c>
      <c r="E258" s="17">
        <f>'HARGA BAHAN'!E7</f>
        <v>175000</v>
      </c>
      <c r="F258" s="18">
        <f>+D258*E258</f>
        <v>4375</v>
      </c>
    </row>
    <row r="259" spans="1:6" ht="17.25" thickBot="1" x14ac:dyDescent="0.35">
      <c r="A259" s="27"/>
      <c r="B259" s="28"/>
      <c r="C259" s="29"/>
      <c r="D259" s="30" t="s">
        <v>8</v>
      </c>
      <c r="E259" s="31"/>
      <c r="F259" s="32">
        <f>SUM(F257:F258)</f>
        <v>35625</v>
      </c>
    </row>
    <row r="260" spans="1:6" x14ac:dyDescent="0.3">
      <c r="A260" s="33" t="s">
        <v>9</v>
      </c>
      <c r="B260" s="34" t="s">
        <v>70</v>
      </c>
      <c r="C260" s="35"/>
      <c r="D260" s="35"/>
      <c r="E260" s="35"/>
      <c r="F260" s="36"/>
    </row>
    <row r="261" spans="1:6" ht="17.25" thickBot="1" x14ac:dyDescent="0.35">
      <c r="A261" s="37"/>
      <c r="B261" s="38" t="s">
        <v>95</v>
      </c>
      <c r="C261" s="39" t="s">
        <v>22</v>
      </c>
      <c r="D261" s="72">
        <v>1.2</v>
      </c>
      <c r="E261" s="41">
        <f>'HARGA BAHAN'!E30</f>
        <v>225000</v>
      </c>
      <c r="F261" s="42">
        <f>+D261*E261</f>
        <v>270000</v>
      </c>
    </row>
    <row r="262" spans="1:6" ht="17.25" thickBot="1" x14ac:dyDescent="0.35">
      <c r="A262" s="27"/>
      <c r="B262" s="43"/>
      <c r="C262" s="43"/>
      <c r="D262" s="44" t="s">
        <v>10</v>
      </c>
      <c r="E262" s="43"/>
      <c r="F262" s="32">
        <f>SUM(F261:F261)</f>
        <v>270000</v>
      </c>
    </row>
    <row r="263" spans="1:6" x14ac:dyDescent="0.3">
      <c r="A263" s="33" t="s">
        <v>11</v>
      </c>
      <c r="B263" s="34" t="s">
        <v>71</v>
      </c>
      <c r="C263" s="35"/>
      <c r="D263" s="35"/>
      <c r="E263" s="35"/>
      <c r="F263" s="36"/>
    </row>
    <row r="264" spans="1:6" ht="17.25" thickBot="1" x14ac:dyDescent="0.35">
      <c r="A264" s="45"/>
      <c r="B264" s="46"/>
      <c r="C264" s="47"/>
      <c r="D264" s="48"/>
      <c r="E264" s="49"/>
      <c r="F264" s="50"/>
    </row>
    <row r="265" spans="1:6" ht="17.25" thickBot="1" x14ac:dyDescent="0.35">
      <c r="A265" s="27"/>
      <c r="B265" s="28"/>
      <c r="C265" s="29"/>
      <c r="D265" s="30" t="s">
        <v>12</v>
      </c>
      <c r="E265" s="31"/>
      <c r="F265" s="32">
        <f>SUM(F264)</f>
        <v>0</v>
      </c>
    </row>
    <row r="266" spans="1:6" x14ac:dyDescent="0.3">
      <c r="A266" s="33" t="s">
        <v>13</v>
      </c>
      <c r="B266" s="34" t="s">
        <v>14</v>
      </c>
      <c r="C266" s="51"/>
      <c r="D266" s="51"/>
      <c r="E266" s="52"/>
      <c r="F266" s="53">
        <f>+F259+F262+F265</f>
        <v>305625</v>
      </c>
    </row>
    <row r="267" spans="1:6" x14ac:dyDescent="0.3">
      <c r="A267" s="9" t="s">
        <v>15</v>
      </c>
      <c r="B267" s="10" t="s">
        <v>49</v>
      </c>
      <c r="C267" s="54"/>
      <c r="D267" s="54"/>
      <c r="E267" s="55"/>
      <c r="F267" s="56">
        <f>F266*15%</f>
        <v>45843.75</v>
      </c>
    </row>
    <row r="268" spans="1:6" ht="17.25" thickBot="1" x14ac:dyDescent="0.35">
      <c r="A268" s="57" t="s">
        <v>16</v>
      </c>
      <c r="B268" s="58" t="s">
        <v>17</v>
      </c>
      <c r="C268" s="59"/>
      <c r="D268" s="59"/>
      <c r="E268" s="60"/>
      <c r="F268" s="61">
        <f>SUM(F266:F267)</f>
        <v>351468.75</v>
      </c>
    </row>
    <row r="270" spans="1:6" ht="17.25" thickBot="1" x14ac:dyDescent="0.35">
      <c r="A270" s="70" t="s">
        <v>62</v>
      </c>
      <c r="B270" s="1" t="s">
        <v>98</v>
      </c>
      <c r="C270" s="2"/>
      <c r="D270" s="2"/>
      <c r="E270" s="2"/>
      <c r="F270" s="2"/>
    </row>
    <row r="271" spans="1:6" ht="26.25" thickBot="1" x14ac:dyDescent="0.35">
      <c r="A271" s="3" t="s">
        <v>2</v>
      </c>
      <c r="B271" s="4" t="s">
        <v>3</v>
      </c>
      <c r="C271" s="4" t="s">
        <v>0</v>
      </c>
      <c r="D271" s="4" t="s">
        <v>4</v>
      </c>
      <c r="E271" s="4" t="s">
        <v>5</v>
      </c>
      <c r="F271" s="5" t="s">
        <v>6</v>
      </c>
    </row>
    <row r="272" spans="1:6" x14ac:dyDescent="0.3">
      <c r="A272" s="6">
        <v>1</v>
      </c>
      <c r="B272" s="7">
        <v>2</v>
      </c>
      <c r="C272" s="7">
        <v>3</v>
      </c>
      <c r="D272" s="7">
        <v>4</v>
      </c>
      <c r="E272" s="7">
        <v>5</v>
      </c>
      <c r="F272" s="8">
        <v>6</v>
      </c>
    </row>
    <row r="273" spans="1:6" x14ac:dyDescent="0.3">
      <c r="A273" s="9" t="s">
        <v>1</v>
      </c>
      <c r="B273" s="10" t="s">
        <v>69</v>
      </c>
      <c r="C273" s="11"/>
      <c r="D273" s="11"/>
      <c r="E273" s="11"/>
      <c r="F273" s="12"/>
    </row>
    <row r="274" spans="1:6" x14ac:dyDescent="0.3">
      <c r="A274" s="13"/>
      <c r="B274" s="14" t="s">
        <v>38</v>
      </c>
      <c r="C274" s="15" t="s">
        <v>7</v>
      </c>
      <c r="D274" s="16">
        <v>0.3</v>
      </c>
      <c r="E274" s="17">
        <f>'HARGA BAHAN'!E4</f>
        <v>125000</v>
      </c>
      <c r="F274" s="18">
        <f>+D274*E274</f>
        <v>37500</v>
      </c>
    </row>
    <row r="275" spans="1:6" x14ac:dyDescent="0.3">
      <c r="A275" s="13"/>
      <c r="B275" s="19" t="s">
        <v>78</v>
      </c>
      <c r="C275" s="20" t="s">
        <v>7</v>
      </c>
      <c r="D275" s="21">
        <v>0.1</v>
      </c>
      <c r="E275" s="17">
        <f>'HARGA BAHAN'!E5</f>
        <v>160000</v>
      </c>
      <c r="F275" s="18">
        <f>+D275*E275</f>
        <v>16000</v>
      </c>
    </row>
    <row r="276" spans="1:6" x14ac:dyDescent="0.3">
      <c r="A276" s="13"/>
      <c r="B276" s="14" t="s">
        <v>79</v>
      </c>
      <c r="C276" s="15" t="s">
        <v>7</v>
      </c>
      <c r="D276" s="16">
        <v>0.01</v>
      </c>
      <c r="E276" s="17">
        <f>'HARGA BAHAN'!E6</f>
        <v>180000</v>
      </c>
      <c r="F276" s="18">
        <f>+D276*E276</f>
        <v>1800</v>
      </c>
    </row>
    <row r="277" spans="1:6" ht="17.25" thickBot="1" x14ac:dyDescent="0.35">
      <c r="A277" s="23"/>
      <c r="B277" s="24" t="s">
        <v>40</v>
      </c>
      <c r="C277" s="25" t="s">
        <v>7</v>
      </c>
      <c r="D277" s="26">
        <v>1.4999999999999999E-2</v>
      </c>
      <c r="E277" s="17">
        <f>'HARGA BAHAN'!E7</f>
        <v>175000</v>
      </c>
      <c r="F277" s="18">
        <f>+D277*E277</f>
        <v>2625</v>
      </c>
    </row>
    <row r="278" spans="1:6" ht="17.25" thickBot="1" x14ac:dyDescent="0.35">
      <c r="A278" s="27"/>
      <c r="B278" s="28"/>
      <c r="C278" s="29"/>
      <c r="D278" s="30" t="s">
        <v>8</v>
      </c>
      <c r="E278" s="31"/>
      <c r="F278" s="32">
        <f>SUM(F274:F277)</f>
        <v>57925</v>
      </c>
    </row>
    <row r="279" spans="1:6" x14ac:dyDescent="0.3">
      <c r="A279" s="33" t="s">
        <v>9</v>
      </c>
      <c r="B279" s="34" t="s">
        <v>70</v>
      </c>
      <c r="C279" s="35"/>
      <c r="D279" s="35"/>
      <c r="E279" s="35"/>
      <c r="F279" s="36"/>
    </row>
    <row r="280" spans="1:6" x14ac:dyDescent="0.3">
      <c r="A280" s="37"/>
      <c r="B280" s="38" t="s">
        <v>96</v>
      </c>
      <c r="C280" s="39" t="s">
        <v>18</v>
      </c>
      <c r="D280" s="72">
        <v>70</v>
      </c>
      <c r="E280" s="41">
        <f>'HARGA BAHAN'!E31</f>
        <v>1000</v>
      </c>
      <c r="F280" s="42">
        <f>+D280*E280</f>
        <v>70000</v>
      </c>
    </row>
    <row r="281" spans="1:6" x14ac:dyDescent="0.3">
      <c r="A281" s="67"/>
      <c r="B281" s="19" t="s">
        <v>77</v>
      </c>
      <c r="C281" s="20" t="s">
        <v>19</v>
      </c>
      <c r="D281" s="73">
        <v>18.95</v>
      </c>
      <c r="E281" s="22">
        <f>'HARGA BAHAN'!E13</f>
        <v>2000</v>
      </c>
      <c r="F281" s="18">
        <f>+D281*E281</f>
        <v>37900</v>
      </c>
    </row>
    <row r="282" spans="1:6" ht="17.25" thickBot="1" x14ac:dyDescent="0.35">
      <c r="A282" s="67"/>
      <c r="B282" s="19" t="s">
        <v>97</v>
      </c>
      <c r="C282" s="20" t="s">
        <v>22</v>
      </c>
      <c r="D282" s="73">
        <v>3.7999999999999999E-2</v>
      </c>
      <c r="E282" s="22">
        <f>'HARGA BAHAN'!E15</f>
        <v>210000</v>
      </c>
      <c r="F282" s="18">
        <f>+D282*E282</f>
        <v>7980</v>
      </c>
    </row>
    <row r="283" spans="1:6" ht="17.25" thickBot="1" x14ac:dyDescent="0.35">
      <c r="A283" s="27"/>
      <c r="B283" s="43"/>
      <c r="C283" s="43"/>
      <c r="D283" s="44" t="s">
        <v>10</v>
      </c>
      <c r="E283" s="43"/>
      <c r="F283" s="32">
        <f>SUM(F280:F282)</f>
        <v>115880</v>
      </c>
    </row>
    <row r="284" spans="1:6" x14ac:dyDescent="0.3">
      <c r="A284" s="33" t="s">
        <v>11</v>
      </c>
      <c r="B284" s="34" t="s">
        <v>71</v>
      </c>
      <c r="C284" s="35"/>
      <c r="D284" s="35"/>
      <c r="E284" s="35"/>
      <c r="F284" s="36"/>
    </row>
    <row r="285" spans="1:6" ht="17.25" thickBot="1" x14ac:dyDescent="0.35">
      <c r="A285" s="45"/>
      <c r="B285" s="46"/>
      <c r="C285" s="47"/>
      <c r="D285" s="48"/>
      <c r="E285" s="49"/>
      <c r="F285" s="50"/>
    </row>
    <row r="286" spans="1:6" ht="17.25" thickBot="1" x14ac:dyDescent="0.35">
      <c r="A286" s="27"/>
      <c r="B286" s="28"/>
      <c r="C286" s="29"/>
      <c r="D286" s="30" t="s">
        <v>12</v>
      </c>
      <c r="E286" s="31"/>
      <c r="F286" s="32">
        <f>SUM(F285)</f>
        <v>0</v>
      </c>
    </row>
    <row r="287" spans="1:6" x14ac:dyDescent="0.3">
      <c r="A287" s="33" t="s">
        <v>13</v>
      </c>
      <c r="B287" s="34" t="s">
        <v>14</v>
      </c>
      <c r="C287" s="51"/>
      <c r="D287" s="51"/>
      <c r="E287" s="52"/>
      <c r="F287" s="53">
        <f>+F278+F283+F286</f>
        <v>173805</v>
      </c>
    </row>
    <row r="288" spans="1:6" x14ac:dyDescent="0.3">
      <c r="A288" s="9" t="s">
        <v>15</v>
      </c>
      <c r="B288" s="10" t="s">
        <v>49</v>
      </c>
      <c r="C288" s="54"/>
      <c r="D288" s="54"/>
      <c r="E288" s="55"/>
      <c r="F288" s="56">
        <f>F287*15%</f>
        <v>26070.75</v>
      </c>
    </row>
    <row r="289" spans="1:6" ht="17.25" thickBot="1" x14ac:dyDescent="0.35">
      <c r="A289" s="57" t="s">
        <v>16</v>
      </c>
      <c r="B289" s="58" t="s">
        <v>17</v>
      </c>
      <c r="C289" s="59"/>
      <c r="D289" s="59"/>
      <c r="E289" s="60"/>
      <c r="F289" s="61">
        <f>SUM(F287:F288)</f>
        <v>199875.75</v>
      </c>
    </row>
    <row r="291" spans="1:6" ht="17.25" thickBot="1" x14ac:dyDescent="0.35">
      <c r="A291" s="70" t="s">
        <v>482</v>
      </c>
      <c r="B291" s="1" t="s">
        <v>483</v>
      </c>
      <c r="C291" s="2"/>
      <c r="D291" s="2"/>
      <c r="E291" s="2"/>
      <c r="F291" s="2"/>
    </row>
    <row r="292" spans="1:6" ht="26.25" thickBot="1" x14ac:dyDescent="0.35">
      <c r="A292" s="3" t="s">
        <v>2</v>
      </c>
      <c r="B292" s="4" t="s">
        <v>3</v>
      </c>
      <c r="C292" s="4" t="s">
        <v>0</v>
      </c>
      <c r="D292" s="4" t="s">
        <v>4</v>
      </c>
      <c r="E292" s="4" t="s">
        <v>5</v>
      </c>
      <c r="F292" s="5" t="s">
        <v>6</v>
      </c>
    </row>
    <row r="293" spans="1:6" x14ac:dyDescent="0.3">
      <c r="A293" s="6">
        <v>1</v>
      </c>
      <c r="B293" s="7">
        <v>2</v>
      </c>
      <c r="C293" s="7">
        <v>3</v>
      </c>
      <c r="D293" s="7">
        <v>4</v>
      </c>
      <c r="E293" s="7">
        <v>5</v>
      </c>
      <c r="F293" s="8">
        <v>6</v>
      </c>
    </row>
    <row r="294" spans="1:6" x14ac:dyDescent="0.3">
      <c r="A294" s="9" t="s">
        <v>1</v>
      </c>
      <c r="B294" s="10" t="s">
        <v>69</v>
      </c>
      <c r="C294" s="11"/>
      <c r="D294" s="11"/>
      <c r="E294" s="11"/>
      <c r="F294" s="12"/>
    </row>
    <row r="295" spans="1:6" x14ac:dyDescent="0.3">
      <c r="A295" s="13"/>
      <c r="B295" s="14" t="s">
        <v>38</v>
      </c>
      <c r="C295" s="15" t="s">
        <v>7</v>
      </c>
      <c r="D295" s="16">
        <v>0.3</v>
      </c>
      <c r="E295" s="17">
        <f>'HARGA BAHAN'!E4</f>
        <v>125000</v>
      </c>
      <c r="F295" s="18">
        <f>+D295*E295</f>
        <v>37500</v>
      </c>
    </row>
    <row r="296" spans="1:6" x14ac:dyDescent="0.3">
      <c r="A296" s="13"/>
      <c r="B296" s="19" t="s">
        <v>78</v>
      </c>
      <c r="C296" s="20" t="s">
        <v>7</v>
      </c>
      <c r="D296" s="21">
        <v>0.1</v>
      </c>
      <c r="E296" s="17">
        <f>'HARGA BAHAN'!E5</f>
        <v>160000</v>
      </c>
      <c r="F296" s="18">
        <f>+D296*E296</f>
        <v>16000</v>
      </c>
    </row>
    <row r="297" spans="1:6" x14ac:dyDescent="0.3">
      <c r="A297" s="13"/>
      <c r="B297" s="14" t="s">
        <v>79</v>
      </c>
      <c r="C297" s="15" t="s">
        <v>7</v>
      </c>
      <c r="D297" s="16">
        <v>0.01</v>
      </c>
      <c r="E297" s="17">
        <f>'HARGA BAHAN'!E6</f>
        <v>180000</v>
      </c>
      <c r="F297" s="18">
        <f>+D297*E297</f>
        <v>1800</v>
      </c>
    </row>
    <row r="298" spans="1:6" ht="17.25" thickBot="1" x14ac:dyDescent="0.35">
      <c r="A298" s="23"/>
      <c r="B298" s="24" t="s">
        <v>40</v>
      </c>
      <c r="C298" s="25" t="s">
        <v>7</v>
      </c>
      <c r="D298" s="26">
        <v>1.4999999999999999E-2</v>
      </c>
      <c r="E298" s="17">
        <f>'HARGA BAHAN'!E7</f>
        <v>175000</v>
      </c>
      <c r="F298" s="18">
        <f>+D298*E298</f>
        <v>2625</v>
      </c>
    </row>
    <row r="299" spans="1:6" ht="17.25" thickBot="1" x14ac:dyDescent="0.35">
      <c r="A299" s="27"/>
      <c r="B299" s="28"/>
      <c r="C299" s="29"/>
      <c r="D299" s="30" t="s">
        <v>8</v>
      </c>
      <c r="E299" s="31"/>
      <c r="F299" s="32">
        <f>SUM(F295:F298)</f>
        <v>57925</v>
      </c>
    </row>
    <row r="300" spans="1:6" x14ac:dyDescent="0.3">
      <c r="A300" s="33" t="s">
        <v>9</v>
      </c>
      <c r="B300" s="34" t="s">
        <v>70</v>
      </c>
      <c r="C300" s="35"/>
      <c r="D300" s="35"/>
      <c r="E300" s="35"/>
      <c r="F300" s="36"/>
    </row>
    <row r="301" spans="1:6" x14ac:dyDescent="0.3">
      <c r="A301" s="37"/>
      <c r="B301" s="38" t="s">
        <v>96</v>
      </c>
      <c r="C301" s="39" t="s">
        <v>18</v>
      </c>
      <c r="D301" s="72">
        <v>70</v>
      </c>
      <c r="E301" s="41">
        <f>'HARGA BAHAN'!E31</f>
        <v>1000</v>
      </c>
      <c r="F301" s="42">
        <f>+D301*E301</f>
        <v>70000</v>
      </c>
    </row>
    <row r="302" spans="1:6" x14ac:dyDescent="0.3">
      <c r="A302" s="67"/>
      <c r="B302" s="19" t="s">
        <v>77</v>
      </c>
      <c r="C302" s="20" t="s">
        <v>19</v>
      </c>
      <c r="D302" s="73">
        <v>11.5</v>
      </c>
      <c r="E302" s="22">
        <f>'HARGA BAHAN'!E13</f>
        <v>2000</v>
      </c>
      <c r="F302" s="18">
        <f>+D302*E302</f>
        <v>23000</v>
      </c>
    </row>
    <row r="303" spans="1:6" ht="17.25" thickBot="1" x14ac:dyDescent="0.35">
      <c r="A303" s="67"/>
      <c r="B303" s="19" t="s">
        <v>97</v>
      </c>
      <c r="C303" s="20" t="s">
        <v>22</v>
      </c>
      <c r="D303" s="73">
        <v>4.2999999999999997E-2</v>
      </c>
      <c r="E303" s="22">
        <f>'HARGA BAHAN'!E15</f>
        <v>210000</v>
      </c>
      <c r="F303" s="18">
        <f>+D303*E303</f>
        <v>9030</v>
      </c>
    </row>
    <row r="304" spans="1:6" ht="17.25" thickBot="1" x14ac:dyDescent="0.35">
      <c r="A304" s="27"/>
      <c r="B304" s="43"/>
      <c r="C304" s="43"/>
      <c r="D304" s="44" t="s">
        <v>10</v>
      </c>
      <c r="E304" s="43"/>
      <c r="F304" s="32">
        <f>SUM(F301:F303)</f>
        <v>102030</v>
      </c>
    </row>
    <row r="305" spans="1:6" x14ac:dyDescent="0.3">
      <c r="A305" s="33" t="s">
        <v>11</v>
      </c>
      <c r="B305" s="34" t="s">
        <v>71</v>
      </c>
      <c r="C305" s="35"/>
      <c r="D305" s="35"/>
      <c r="E305" s="35"/>
      <c r="F305" s="36"/>
    </row>
    <row r="306" spans="1:6" ht="17.25" thickBot="1" x14ac:dyDescent="0.35">
      <c r="A306" s="45"/>
      <c r="B306" s="46"/>
      <c r="C306" s="47"/>
      <c r="D306" s="48"/>
      <c r="E306" s="49"/>
      <c r="F306" s="50"/>
    </row>
    <row r="307" spans="1:6" ht="17.25" thickBot="1" x14ac:dyDescent="0.35">
      <c r="A307" s="27"/>
      <c r="B307" s="28"/>
      <c r="C307" s="29"/>
      <c r="D307" s="30" t="s">
        <v>12</v>
      </c>
      <c r="E307" s="31"/>
      <c r="F307" s="32">
        <f>SUM(F306)</f>
        <v>0</v>
      </c>
    </row>
    <row r="308" spans="1:6" x14ac:dyDescent="0.3">
      <c r="A308" s="33" t="s">
        <v>13</v>
      </c>
      <c r="B308" s="34" t="s">
        <v>14</v>
      </c>
      <c r="C308" s="51"/>
      <c r="D308" s="51"/>
      <c r="E308" s="52"/>
      <c r="F308" s="53">
        <f>+F299+F304+F307</f>
        <v>159955</v>
      </c>
    </row>
    <row r="309" spans="1:6" x14ac:dyDescent="0.3">
      <c r="A309" s="9" t="s">
        <v>15</v>
      </c>
      <c r="B309" s="10" t="s">
        <v>49</v>
      </c>
      <c r="C309" s="54"/>
      <c r="D309" s="54"/>
      <c r="E309" s="55"/>
      <c r="F309" s="56">
        <f>F308*15%</f>
        <v>23993.25</v>
      </c>
    </row>
    <row r="310" spans="1:6" ht="17.25" thickBot="1" x14ac:dyDescent="0.35">
      <c r="A310" s="57" t="s">
        <v>16</v>
      </c>
      <c r="B310" s="58" t="s">
        <v>17</v>
      </c>
      <c r="C310" s="59"/>
      <c r="D310" s="59"/>
      <c r="E310" s="60"/>
      <c r="F310" s="61">
        <f>SUM(F308:F309)</f>
        <v>183948.25</v>
      </c>
    </row>
    <row r="312" spans="1:6" ht="17.25" thickBot="1" x14ac:dyDescent="0.35">
      <c r="A312" s="70" t="s">
        <v>61</v>
      </c>
      <c r="B312" s="1" t="s">
        <v>99</v>
      </c>
      <c r="C312" s="2"/>
      <c r="D312" s="2"/>
      <c r="E312" s="2"/>
      <c r="F312" s="2"/>
    </row>
    <row r="313" spans="1:6" ht="26.25" thickBot="1" x14ac:dyDescent="0.35">
      <c r="A313" s="3" t="s">
        <v>2</v>
      </c>
      <c r="B313" s="4" t="s">
        <v>3</v>
      </c>
      <c r="C313" s="4" t="s">
        <v>0</v>
      </c>
      <c r="D313" s="4" t="s">
        <v>4</v>
      </c>
      <c r="E313" s="4" t="s">
        <v>5</v>
      </c>
      <c r="F313" s="5" t="s">
        <v>6</v>
      </c>
    </row>
    <row r="314" spans="1:6" x14ac:dyDescent="0.3">
      <c r="A314" s="6">
        <v>1</v>
      </c>
      <c r="B314" s="7">
        <v>2</v>
      </c>
      <c r="C314" s="7">
        <v>3</v>
      </c>
      <c r="D314" s="7">
        <v>4</v>
      </c>
      <c r="E314" s="7">
        <v>5</v>
      </c>
      <c r="F314" s="8">
        <v>6</v>
      </c>
    </row>
    <row r="315" spans="1:6" x14ac:dyDescent="0.3">
      <c r="A315" s="9" t="s">
        <v>1</v>
      </c>
      <c r="B315" s="10" t="s">
        <v>69</v>
      </c>
      <c r="C315" s="11"/>
      <c r="D315" s="11"/>
      <c r="E315" s="11"/>
      <c r="F315" s="12"/>
    </row>
    <row r="316" spans="1:6" x14ac:dyDescent="0.3">
      <c r="A316" s="13"/>
      <c r="B316" s="14" t="s">
        <v>38</v>
      </c>
      <c r="C316" s="15" t="s">
        <v>7</v>
      </c>
      <c r="D316" s="16">
        <v>0.3</v>
      </c>
      <c r="E316" s="17">
        <f>'HARGA BAHAN'!E4</f>
        <v>125000</v>
      </c>
      <c r="F316" s="18">
        <f>+D316*E316</f>
        <v>37500</v>
      </c>
    </row>
    <row r="317" spans="1:6" ht="17.25" thickBot="1" x14ac:dyDescent="0.35">
      <c r="A317" s="23"/>
      <c r="B317" s="24" t="s">
        <v>40</v>
      </c>
      <c r="C317" s="25" t="s">
        <v>7</v>
      </c>
      <c r="D317" s="26">
        <v>0.01</v>
      </c>
      <c r="E317" s="17">
        <f>'HARGA BAHAN'!E7</f>
        <v>175000</v>
      </c>
      <c r="F317" s="18">
        <f>+D317*E317</f>
        <v>1750</v>
      </c>
    </row>
    <row r="318" spans="1:6" ht="17.25" thickBot="1" x14ac:dyDescent="0.35">
      <c r="A318" s="27"/>
      <c r="B318" s="28"/>
      <c r="C318" s="29"/>
      <c r="D318" s="30" t="s">
        <v>8</v>
      </c>
      <c r="E318" s="31"/>
      <c r="F318" s="32">
        <f>SUM(F316:F317)</f>
        <v>39250</v>
      </c>
    </row>
    <row r="319" spans="1:6" x14ac:dyDescent="0.3">
      <c r="A319" s="33" t="s">
        <v>9</v>
      </c>
      <c r="B319" s="34" t="s">
        <v>70</v>
      </c>
      <c r="C319" s="35"/>
      <c r="D319" s="35"/>
      <c r="E319" s="35"/>
      <c r="F319" s="36"/>
    </row>
    <row r="320" spans="1:6" ht="17.25" thickBot="1" x14ac:dyDescent="0.35">
      <c r="A320" s="37"/>
      <c r="B320" s="38" t="s">
        <v>75</v>
      </c>
      <c r="C320" s="39" t="s">
        <v>22</v>
      </c>
      <c r="D320" s="72">
        <v>1.2</v>
      </c>
      <c r="E320" s="41">
        <f>'HARGA BAHAN'!E11</f>
        <v>180000</v>
      </c>
      <c r="F320" s="42">
        <f>+D320*E320</f>
        <v>216000</v>
      </c>
    </row>
    <row r="321" spans="1:6" ht="17.25" thickBot="1" x14ac:dyDescent="0.35">
      <c r="A321" s="27"/>
      <c r="B321" s="43"/>
      <c r="C321" s="43"/>
      <c r="D321" s="44" t="s">
        <v>10</v>
      </c>
      <c r="E321" s="43"/>
      <c r="F321" s="32">
        <f>SUM(F320:F320)</f>
        <v>216000</v>
      </c>
    </row>
    <row r="322" spans="1:6" x14ac:dyDescent="0.3">
      <c r="A322" s="33" t="s">
        <v>11</v>
      </c>
      <c r="B322" s="34" t="s">
        <v>71</v>
      </c>
      <c r="C322" s="35"/>
      <c r="D322" s="35"/>
      <c r="E322" s="35"/>
      <c r="F322" s="36"/>
    </row>
    <row r="323" spans="1:6" ht="17.25" thickBot="1" x14ac:dyDescent="0.35">
      <c r="A323" s="45"/>
      <c r="B323" s="46"/>
      <c r="C323" s="47"/>
      <c r="D323" s="48"/>
      <c r="E323" s="49"/>
      <c r="F323" s="50"/>
    </row>
    <row r="324" spans="1:6" ht="17.25" thickBot="1" x14ac:dyDescent="0.35">
      <c r="A324" s="27"/>
      <c r="B324" s="28"/>
      <c r="C324" s="29"/>
      <c r="D324" s="30" t="s">
        <v>12</v>
      </c>
      <c r="E324" s="31"/>
      <c r="F324" s="32">
        <f>SUM(F323)</f>
        <v>0</v>
      </c>
    </row>
    <row r="325" spans="1:6" x14ac:dyDescent="0.3">
      <c r="A325" s="33" t="s">
        <v>13</v>
      </c>
      <c r="B325" s="34" t="s">
        <v>14</v>
      </c>
      <c r="C325" s="51"/>
      <c r="D325" s="51"/>
      <c r="E325" s="52"/>
      <c r="F325" s="53">
        <f>+F318+F321+F324</f>
        <v>255250</v>
      </c>
    </row>
    <row r="326" spans="1:6" x14ac:dyDescent="0.3">
      <c r="A326" s="9" t="s">
        <v>15</v>
      </c>
      <c r="B326" s="10" t="s">
        <v>49</v>
      </c>
      <c r="C326" s="54"/>
      <c r="D326" s="54"/>
      <c r="E326" s="55"/>
      <c r="F326" s="56">
        <f>F325*15%</f>
        <v>38287.5</v>
      </c>
    </row>
    <row r="327" spans="1:6" ht="17.25" thickBot="1" x14ac:dyDescent="0.35">
      <c r="A327" s="57" t="s">
        <v>16</v>
      </c>
      <c r="B327" s="58" t="s">
        <v>17</v>
      </c>
      <c r="C327" s="59"/>
      <c r="D327" s="59"/>
      <c r="E327" s="60"/>
      <c r="F327" s="61">
        <f>SUM(F325:F326)</f>
        <v>293537.5</v>
      </c>
    </row>
    <row r="329" spans="1:6" ht="17.25" thickBot="1" x14ac:dyDescent="0.35">
      <c r="A329" s="70" t="s">
        <v>100</v>
      </c>
      <c r="B329" s="1" t="s">
        <v>145</v>
      </c>
      <c r="C329" s="2"/>
      <c r="D329" s="2"/>
      <c r="E329" s="2"/>
      <c r="F329" s="2"/>
    </row>
    <row r="330" spans="1:6" ht="26.25" thickBot="1" x14ac:dyDescent="0.35">
      <c r="A330" s="3" t="s">
        <v>2</v>
      </c>
      <c r="B330" s="4" t="s">
        <v>3</v>
      </c>
      <c r="C330" s="4" t="s">
        <v>0</v>
      </c>
      <c r="D330" s="4" t="s">
        <v>4</v>
      </c>
      <c r="E330" s="4" t="s">
        <v>5</v>
      </c>
      <c r="F330" s="5" t="s">
        <v>6</v>
      </c>
    </row>
    <row r="331" spans="1:6" x14ac:dyDescent="0.3">
      <c r="A331" s="6">
        <v>1</v>
      </c>
      <c r="B331" s="7">
        <v>2</v>
      </c>
      <c r="C331" s="7">
        <v>3</v>
      </c>
      <c r="D331" s="7">
        <v>4</v>
      </c>
      <c r="E331" s="7">
        <v>5</v>
      </c>
      <c r="F331" s="8">
        <v>6</v>
      </c>
    </row>
    <row r="332" spans="1:6" x14ac:dyDescent="0.3">
      <c r="A332" s="9" t="s">
        <v>1</v>
      </c>
      <c r="B332" s="10" t="s">
        <v>69</v>
      </c>
      <c r="C332" s="11"/>
      <c r="D332" s="11"/>
      <c r="E332" s="11"/>
      <c r="F332" s="12"/>
    </row>
    <row r="333" spans="1:6" x14ac:dyDescent="0.3">
      <c r="A333" s="13"/>
      <c r="B333" s="14" t="s">
        <v>38</v>
      </c>
      <c r="C333" s="15" t="s">
        <v>7</v>
      </c>
      <c r="D333" s="16">
        <v>0.52</v>
      </c>
      <c r="E333" s="17">
        <f>'HARGA BAHAN'!E4</f>
        <v>125000</v>
      </c>
      <c r="F333" s="18">
        <f>+D333*E333</f>
        <v>65000</v>
      </c>
    </row>
    <row r="334" spans="1:6" x14ac:dyDescent="0.3">
      <c r="A334" s="13"/>
      <c r="B334" s="19" t="s">
        <v>78</v>
      </c>
      <c r="C334" s="20" t="s">
        <v>7</v>
      </c>
      <c r="D334" s="21">
        <v>0.26</v>
      </c>
      <c r="E334" s="17">
        <f>'HARGA BAHAN'!E5</f>
        <v>160000</v>
      </c>
      <c r="F334" s="18">
        <f>+D334*E334</f>
        <v>41600</v>
      </c>
    </row>
    <row r="335" spans="1:6" x14ac:dyDescent="0.3">
      <c r="A335" s="13"/>
      <c r="B335" s="14" t="s">
        <v>79</v>
      </c>
      <c r="C335" s="15" t="s">
        <v>7</v>
      </c>
      <c r="D335" s="16">
        <v>2.5999999999999999E-2</v>
      </c>
      <c r="E335" s="17">
        <f>'HARGA BAHAN'!E6</f>
        <v>180000</v>
      </c>
      <c r="F335" s="18">
        <f>+D335*E335</f>
        <v>4680</v>
      </c>
    </row>
    <row r="336" spans="1:6" ht="17.25" thickBot="1" x14ac:dyDescent="0.35">
      <c r="A336" s="23"/>
      <c r="B336" s="24" t="s">
        <v>40</v>
      </c>
      <c r="C336" s="25" t="s">
        <v>7</v>
      </c>
      <c r="D336" s="26">
        <v>2.5999999999999999E-2</v>
      </c>
      <c r="E336" s="17">
        <f>'HARGA BAHAN'!E7</f>
        <v>175000</v>
      </c>
      <c r="F336" s="18">
        <f>+D336*E336</f>
        <v>4550</v>
      </c>
    </row>
    <row r="337" spans="1:6" ht="17.25" thickBot="1" x14ac:dyDescent="0.35">
      <c r="A337" s="27"/>
      <c r="B337" s="28"/>
      <c r="C337" s="29"/>
      <c r="D337" s="30" t="s">
        <v>8</v>
      </c>
      <c r="E337" s="31"/>
      <c r="F337" s="32">
        <f>SUM(F333:F336)</f>
        <v>115830</v>
      </c>
    </row>
    <row r="338" spans="1:6" x14ac:dyDescent="0.3">
      <c r="A338" s="33" t="s">
        <v>9</v>
      </c>
      <c r="B338" s="34" t="s">
        <v>70</v>
      </c>
      <c r="C338" s="35"/>
      <c r="D338" s="35"/>
      <c r="E338" s="35"/>
      <c r="F338" s="36"/>
    </row>
    <row r="339" spans="1:6" x14ac:dyDescent="0.3">
      <c r="A339" s="37"/>
      <c r="B339" s="38" t="s">
        <v>90</v>
      </c>
      <c r="C339" s="39" t="s">
        <v>22</v>
      </c>
      <c r="D339" s="72">
        <v>4.4999999999999998E-2</v>
      </c>
      <c r="E339" s="41">
        <f>'HARGA BAHAN'!E27</f>
        <v>5200000</v>
      </c>
      <c r="F339" s="42">
        <f>+D339*E339</f>
        <v>234000</v>
      </c>
    </row>
    <row r="340" spans="1:6" x14ac:dyDescent="0.3">
      <c r="A340" s="67"/>
      <c r="B340" s="19" t="s">
        <v>44</v>
      </c>
      <c r="C340" s="20" t="s">
        <v>19</v>
      </c>
      <c r="D340" s="73">
        <v>0.3</v>
      </c>
      <c r="E340" s="22">
        <f>'HARGA BAHAN'!E28</f>
        <v>25500</v>
      </c>
      <c r="F340" s="18">
        <f>+D340*E340</f>
        <v>7650</v>
      </c>
    </row>
    <row r="341" spans="1:6" ht="17.25" thickBot="1" x14ac:dyDescent="0.35">
      <c r="A341" s="67"/>
      <c r="B341" s="19" t="s">
        <v>91</v>
      </c>
      <c r="C341" s="20" t="s">
        <v>80</v>
      </c>
      <c r="D341" s="73">
        <v>0.1</v>
      </c>
      <c r="E341" s="22">
        <f>'HARGA BAHAN'!E29</f>
        <v>21000</v>
      </c>
      <c r="F341" s="18">
        <f>+D341*E341</f>
        <v>2100</v>
      </c>
    </row>
    <row r="342" spans="1:6" ht="17.25" thickBot="1" x14ac:dyDescent="0.35">
      <c r="A342" s="27"/>
      <c r="B342" s="43"/>
      <c r="C342" s="43"/>
      <c r="D342" s="44" t="s">
        <v>10</v>
      </c>
      <c r="E342" s="43"/>
      <c r="F342" s="32">
        <f>SUM(F339:F341)</f>
        <v>243750</v>
      </c>
    </row>
    <row r="343" spans="1:6" x14ac:dyDescent="0.3">
      <c r="A343" s="33" t="s">
        <v>11</v>
      </c>
      <c r="B343" s="34" t="s">
        <v>71</v>
      </c>
      <c r="C343" s="35"/>
      <c r="D343" s="35"/>
      <c r="E343" s="35"/>
      <c r="F343" s="36"/>
    </row>
    <row r="344" spans="1:6" ht="17.25" thickBot="1" x14ac:dyDescent="0.35">
      <c r="A344" s="45"/>
      <c r="B344" s="46"/>
      <c r="C344" s="47"/>
      <c r="D344" s="48"/>
      <c r="E344" s="49"/>
      <c r="F344" s="50"/>
    </row>
    <row r="345" spans="1:6" ht="17.25" thickBot="1" x14ac:dyDescent="0.35">
      <c r="A345" s="27"/>
      <c r="B345" s="28"/>
      <c r="C345" s="29"/>
      <c r="D345" s="30" t="s">
        <v>12</v>
      </c>
      <c r="E345" s="31"/>
      <c r="F345" s="32">
        <f>SUM(F344)</f>
        <v>0</v>
      </c>
    </row>
    <row r="346" spans="1:6" x14ac:dyDescent="0.3">
      <c r="A346" s="33" t="s">
        <v>13</v>
      </c>
      <c r="B346" s="34" t="s">
        <v>14</v>
      </c>
      <c r="C346" s="51"/>
      <c r="D346" s="51"/>
      <c r="E346" s="52"/>
      <c r="F346" s="53">
        <f>+F337+F342+F345</f>
        <v>359580</v>
      </c>
    </row>
    <row r="347" spans="1:6" x14ac:dyDescent="0.3">
      <c r="A347" s="9" t="s">
        <v>15</v>
      </c>
      <c r="B347" s="10" t="s">
        <v>49</v>
      </c>
      <c r="C347" s="54"/>
      <c r="D347" s="54"/>
      <c r="E347" s="55"/>
      <c r="F347" s="56">
        <f>F346*15%</f>
        <v>53937</v>
      </c>
    </row>
    <row r="348" spans="1:6" ht="17.25" thickBot="1" x14ac:dyDescent="0.35">
      <c r="A348" s="57" t="s">
        <v>16</v>
      </c>
      <c r="B348" s="58" t="s">
        <v>17</v>
      </c>
      <c r="C348" s="59"/>
      <c r="D348" s="59"/>
      <c r="E348" s="60"/>
      <c r="F348" s="61">
        <f>SUM(F346:F347)</f>
        <v>413517</v>
      </c>
    </row>
    <row r="349" spans="1:6" ht="17.25" thickBot="1" x14ac:dyDescent="0.35">
      <c r="A349" s="92"/>
      <c r="B349" s="93" t="s">
        <v>146</v>
      </c>
      <c r="C349" s="30"/>
      <c r="D349" s="30"/>
      <c r="E349" s="30"/>
      <c r="F349" s="94">
        <f>F348/2</f>
        <v>206758.5</v>
      </c>
    </row>
    <row r="351" spans="1:6" ht="17.25" thickBot="1" x14ac:dyDescent="0.35">
      <c r="A351" s="70" t="s">
        <v>101</v>
      </c>
      <c r="B351" s="1" t="s">
        <v>144</v>
      </c>
      <c r="C351" s="2"/>
      <c r="D351" s="2"/>
      <c r="E351" s="2"/>
      <c r="F351" s="2"/>
    </row>
    <row r="352" spans="1:6" ht="26.25" thickBot="1" x14ac:dyDescent="0.35">
      <c r="A352" s="3" t="s">
        <v>2</v>
      </c>
      <c r="B352" s="4" t="s">
        <v>3</v>
      </c>
      <c r="C352" s="4" t="s">
        <v>0</v>
      </c>
      <c r="D352" s="4" t="s">
        <v>4</v>
      </c>
      <c r="E352" s="4" t="s">
        <v>5</v>
      </c>
      <c r="F352" s="5" t="s">
        <v>6</v>
      </c>
    </row>
    <row r="353" spans="1:6" x14ac:dyDescent="0.3">
      <c r="A353" s="6">
        <v>1</v>
      </c>
      <c r="B353" s="7">
        <v>2</v>
      </c>
      <c r="C353" s="7">
        <v>3</v>
      </c>
      <c r="D353" s="7">
        <v>4</v>
      </c>
      <c r="E353" s="7">
        <v>5</v>
      </c>
      <c r="F353" s="8">
        <v>6</v>
      </c>
    </row>
    <row r="354" spans="1:6" x14ac:dyDescent="0.3">
      <c r="A354" s="9" t="s">
        <v>1</v>
      </c>
      <c r="B354" s="10" t="s">
        <v>69</v>
      </c>
      <c r="C354" s="11"/>
      <c r="D354" s="11"/>
      <c r="E354" s="11"/>
      <c r="F354" s="12"/>
    </row>
    <row r="355" spans="1:6" x14ac:dyDescent="0.3">
      <c r="A355" s="13"/>
      <c r="B355" s="14" t="s">
        <v>38</v>
      </c>
      <c r="C355" s="15" t="s">
        <v>7</v>
      </c>
      <c r="D355" s="16">
        <v>0.66</v>
      </c>
      <c r="E355" s="17">
        <f>'HARGA BAHAN'!E4</f>
        <v>125000</v>
      </c>
      <c r="F355" s="18">
        <f>+D355*E355</f>
        <v>82500</v>
      </c>
    </row>
    <row r="356" spans="1:6" x14ac:dyDescent="0.3">
      <c r="A356" s="13"/>
      <c r="B356" s="19" t="s">
        <v>78</v>
      </c>
      <c r="C356" s="20" t="s">
        <v>7</v>
      </c>
      <c r="D356" s="21">
        <v>0.33</v>
      </c>
      <c r="E356" s="17">
        <f>'HARGA BAHAN'!E5</f>
        <v>160000</v>
      </c>
      <c r="F356" s="18">
        <f>+D356*E356</f>
        <v>52800</v>
      </c>
    </row>
    <row r="357" spans="1:6" x14ac:dyDescent="0.3">
      <c r="A357" s="13"/>
      <c r="B357" s="14" t="s">
        <v>79</v>
      </c>
      <c r="C357" s="15" t="s">
        <v>7</v>
      </c>
      <c r="D357" s="16">
        <v>3.3000000000000002E-2</v>
      </c>
      <c r="E357" s="17">
        <f>'HARGA BAHAN'!E6</f>
        <v>180000</v>
      </c>
      <c r="F357" s="18">
        <f>+D357*E357</f>
        <v>5940</v>
      </c>
    </row>
    <row r="358" spans="1:6" ht="17.25" thickBot="1" x14ac:dyDescent="0.35">
      <c r="A358" s="23"/>
      <c r="B358" s="24" t="s">
        <v>40</v>
      </c>
      <c r="C358" s="25" t="s">
        <v>7</v>
      </c>
      <c r="D358" s="26">
        <v>3.3000000000000002E-2</v>
      </c>
      <c r="E358" s="17">
        <f>'HARGA BAHAN'!E7</f>
        <v>175000</v>
      </c>
      <c r="F358" s="18">
        <f>+D358*E358</f>
        <v>5775</v>
      </c>
    </row>
    <row r="359" spans="1:6" ht="17.25" thickBot="1" x14ac:dyDescent="0.35">
      <c r="A359" s="27"/>
      <c r="B359" s="28"/>
      <c r="C359" s="29"/>
      <c r="D359" s="30" t="s">
        <v>8</v>
      </c>
      <c r="E359" s="31"/>
      <c r="F359" s="32">
        <f>SUM(F355:F358)</f>
        <v>147015</v>
      </c>
    </row>
    <row r="360" spans="1:6" x14ac:dyDescent="0.3">
      <c r="A360" s="33" t="s">
        <v>9</v>
      </c>
      <c r="B360" s="34" t="s">
        <v>70</v>
      </c>
      <c r="C360" s="35"/>
      <c r="D360" s="35"/>
      <c r="E360" s="35"/>
      <c r="F360" s="36"/>
    </row>
    <row r="361" spans="1:6" x14ac:dyDescent="0.3">
      <c r="A361" s="37"/>
      <c r="B361" s="38" t="s">
        <v>90</v>
      </c>
      <c r="C361" s="39" t="s">
        <v>22</v>
      </c>
      <c r="D361" s="72">
        <v>0.04</v>
      </c>
      <c r="E361" s="41">
        <f>'HARGA BAHAN'!E27</f>
        <v>5200000</v>
      </c>
      <c r="F361" s="42">
        <f t="shared" ref="F361:F366" si="5">+D361*E361</f>
        <v>208000</v>
      </c>
    </row>
    <row r="362" spans="1:6" x14ac:dyDescent="0.3">
      <c r="A362" s="67"/>
      <c r="B362" s="19" t="s">
        <v>102</v>
      </c>
      <c r="C362" s="20" t="s">
        <v>19</v>
      </c>
      <c r="D362" s="73">
        <v>0.4</v>
      </c>
      <c r="E362" s="22">
        <f>'HARGA BAHAN'!E28</f>
        <v>25500</v>
      </c>
      <c r="F362" s="18">
        <f t="shared" si="5"/>
        <v>10200</v>
      </c>
    </row>
    <row r="363" spans="1:6" x14ac:dyDescent="0.3">
      <c r="A363" s="67"/>
      <c r="B363" s="19" t="s">
        <v>93</v>
      </c>
      <c r="C363" s="20" t="s">
        <v>80</v>
      </c>
      <c r="D363" s="73">
        <v>0.2</v>
      </c>
      <c r="E363" s="22">
        <f>'HARGA BAHAN'!E29</f>
        <v>21000</v>
      </c>
      <c r="F363" s="18">
        <f t="shared" si="5"/>
        <v>4200</v>
      </c>
    </row>
    <row r="364" spans="1:6" x14ac:dyDescent="0.3">
      <c r="A364" s="67"/>
      <c r="B364" s="19" t="s">
        <v>103</v>
      </c>
      <c r="C364" s="20" t="s">
        <v>22</v>
      </c>
      <c r="D364" s="73">
        <v>1.4999999999999999E-2</v>
      </c>
      <c r="E364" s="22">
        <f>'HARGA BAHAN'!E33</f>
        <v>7100000</v>
      </c>
      <c r="F364" s="18">
        <f t="shared" si="5"/>
        <v>106500</v>
      </c>
    </row>
    <row r="365" spans="1:6" x14ac:dyDescent="0.3">
      <c r="A365" s="67"/>
      <c r="B365" s="19" t="s">
        <v>104</v>
      </c>
      <c r="C365" s="20" t="s">
        <v>51</v>
      </c>
      <c r="D365" s="73">
        <v>0.35</v>
      </c>
      <c r="E365" s="22">
        <f>'HARGA BAHAN'!E35</f>
        <v>215000</v>
      </c>
      <c r="F365" s="18">
        <f t="shared" si="5"/>
        <v>75250</v>
      </c>
    </row>
    <row r="366" spans="1:6" ht="17.25" thickBot="1" x14ac:dyDescent="0.35">
      <c r="A366" s="67"/>
      <c r="B366" s="19" t="s">
        <v>125</v>
      </c>
      <c r="C366" s="20" t="s">
        <v>105</v>
      </c>
      <c r="D366" s="73">
        <v>2</v>
      </c>
      <c r="E366" s="22">
        <f>'HARGA BAHAN'!E37</f>
        <v>120000</v>
      </c>
      <c r="F366" s="18">
        <f t="shared" si="5"/>
        <v>240000</v>
      </c>
    </row>
    <row r="367" spans="1:6" ht="17.25" thickBot="1" x14ac:dyDescent="0.35">
      <c r="A367" s="27"/>
      <c r="B367" s="43"/>
      <c r="C367" s="43"/>
      <c r="D367" s="44" t="s">
        <v>10</v>
      </c>
      <c r="E367" s="43"/>
      <c r="F367" s="32">
        <f>SUM(F361:F366)</f>
        <v>644150</v>
      </c>
    </row>
    <row r="368" spans="1:6" x14ac:dyDescent="0.3">
      <c r="A368" s="33" t="s">
        <v>11</v>
      </c>
      <c r="B368" s="34" t="s">
        <v>71</v>
      </c>
      <c r="C368" s="35"/>
      <c r="D368" s="35"/>
      <c r="E368" s="35"/>
      <c r="F368" s="36"/>
    </row>
    <row r="369" spans="1:6" ht="17.25" thickBot="1" x14ac:dyDescent="0.35">
      <c r="A369" s="45"/>
      <c r="B369" s="46"/>
      <c r="C369" s="47"/>
      <c r="D369" s="48"/>
      <c r="E369" s="49"/>
      <c r="F369" s="50"/>
    </row>
    <row r="370" spans="1:6" ht="17.25" thickBot="1" x14ac:dyDescent="0.35">
      <c r="A370" s="27"/>
      <c r="B370" s="28"/>
      <c r="C370" s="29"/>
      <c r="D370" s="30" t="s">
        <v>12</v>
      </c>
      <c r="E370" s="31"/>
      <c r="F370" s="32">
        <f>SUM(F369)</f>
        <v>0</v>
      </c>
    </row>
    <row r="371" spans="1:6" x14ac:dyDescent="0.3">
      <c r="A371" s="33" t="s">
        <v>13</v>
      </c>
      <c r="B371" s="34" t="s">
        <v>14</v>
      </c>
      <c r="C371" s="51"/>
      <c r="D371" s="51"/>
      <c r="E371" s="52"/>
      <c r="F371" s="53">
        <f>+F359+F367+F370</f>
        <v>791165</v>
      </c>
    </row>
    <row r="372" spans="1:6" x14ac:dyDescent="0.3">
      <c r="A372" s="9" t="s">
        <v>15</v>
      </c>
      <c r="B372" s="10" t="s">
        <v>49</v>
      </c>
      <c r="C372" s="54"/>
      <c r="D372" s="54"/>
      <c r="E372" s="55"/>
      <c r="F372" s="56">
        <f>F371*15%</f>
        <v>118674.75</v>
      </c>
    </row>
    <row r="373" spans="1:6" ht="17.25" thickBot="1" x14ac:dyDescent="0.35">
      <c r="A373" s="57" t="s">
        <v>16</v>
      </c>
      <c r="B373" s="58" t="s">
        <v>17</v>
      </c>
      <c r="C373" s="59"/>
      <c r="D373" s="59"/>
      <c r="E373" s="60"/>
      <c r="F373" s="61">
        <f>SUM(F371:F372)</f>
        <v>909839.75</v>
      </c>
    </row>
    <row r="374" spans="1:6" ht="17.25" thickBot="1" x14ac:dyDescent="0.35">
      <c r="A374" s="92"/>
      <c r="B374" s="93" t="s">
        <v>146</v>
      </c>
      <c r="C374" s="30"/>
      <c r="D374" s="30"/>
      <c r="E374" s="30"/>
      <c r="F374" s="94">
        <f>F373/2</f>
        <v>454919.875</v>
      </c>
    </row>
    <row r="376" spans="1:6" ht="17.25" thickBot="1" x14ac:dyDescent="0.35">
      <c r="A376" s="70" t="s">
        <v>106</v>
      </c>
      <c r="B376" s="1" t="s">
        <v>143</v>
      </c>
      <c r="C376" s="2"/>
      <c r="D376" s="2"/>
      <c r="E376" s="2"/>
      <c r="F376" s="2"/>
    </row>
    <row r="377" spans="1:6" ht="26.25" thickBot="1" x14ac:dyDescent="0.35">
      <c r="A377" s="3" t="s">
        <v>2</v>
      </c>
      <c r="B377" s="4" t="s">
        <v>3</v>
      </c>
      <c r="C377" s="4" t="s">
        <v>0</v>
      </c>
      <c r="D377" s="4" t="s">
        <v>4</v>
      </c>
      <c r="E377" s="4" t="s">
        <v>5</v>
      </c>
      <c r="F377" s="5" t="s">
        <v>6</v>
      </c>
    </row>
    <row r="378" spans="1:6" x14ac:dyDescent="0.3">
      <c r="A378" s="6">
        <v>1</v>
      </c>
      <c r="B378" s="7">
        <v>2</v>
      </c>
      <c r="C378" s="7">
        <v>3</v>
      </c>
      <c r="D378" s="7">
        <v>4</v>
      </c>
      <c r="E378" s="7">
        <v>5</v>
      </c>
      <c r="F378" s="8">
        <v>6</v>
      </c>
    </row>
    <row r="379" spans="1:6" x14ac:dyDescent="0.3">
      <c r="A379" s="9" t="s">
        <v>1</v>
      </c>
      <c r="B379" s="10" t="s">
        <v>69</v>
      </c>
      <c r="C379" s="11"/>
      <c r="D379" s="11"/>
      <c r="E379" s="11"/>
      <c r="F379" s="12"/>
    </row>
    <row r="380" spans="1:6" x14ac:dyDescent="0.3">
      <c r="A380" s="13"/>
      <c r="B380" s="14" t="s">
        <v>38</v>
      </c>
      <c r="C380" s="15" t="s">
        <v>7</v>
      </c>
      <c r="D380" s="16">
        <v>0.66</v>
      </c>
      <c r="E380" s="17">
        <f>'HARGA BAHAN'!E4</f>
        <v>125000</v>
      </c>
      <c r="F380" s="18">
        <f>+D380*E380</f>
        <v>82500</v>
      </c>
    </row>
    <row r="381" spans="1:6" x14ac:dyDescent="0.3">
      <c r="A381" s="13"/>
      <c r="B381" s="19" t="s">
        <v>78</v>
      </c>
      <c r="C381" s="20" t="s">
        <v>7</v>
      </c>
      <c r="D381" s="21">
        <v>0.33</v>
      </c>
      <c r="E381" s="17">
        <f>'HARGA BAHAN'!E5</f>
        <v>160000</v>
      </c>
      <c r="F381" s="18">
        <f>+D381*E381</f>
        <v>52800</v>
      </c>
    </row>
    <row r="382" spans="1:6" x14ac:dyDescent="0.3">
      <c r="A382" s="13"/>
      <c r="B382" s="14" t="s">
        <v>79</v>
      </c>
      <c r="C382" s="15" t="s">
        <v>7</v>
      </c>
      <c r="D382" s="16">
        <v>3.3000000000000002E-2</v>
      </c>
      <c r="E382" s="17">
        <f>'HARGA BAHAN'!E6</f>
        <v>180000</v>
      </c>
      <c r="F382" s="18">
        <f>+D382*E382</f>
        <v>5940</v>
      </c>
    </row>
    <row r="383" spans="1:6" ht="17.25" thickBot="1" x14ac:dyDescent="0.35">
      <c r="A383" s="23"/>
      <c r="B383" s="24" t="s">
        <v>40</v>
      </c>
      <c r="C383" s="25" t="s">
        <v>7</v>
      </c>
      <c r="D383" s="26">
        <v>3.3000000000000002E-2</v>
      </c>
      <c r="E383" s="17">
        <f>'HARGA BAHAN'!E7</f>
        <v>175000</v>
      </c>
      <c r="F383" s="18">
        <f>+D383*E383</f>
        <v>5775</v>
      </c>
    </row>
    <row r="384" spans="1:6" ht="17.25" thickBot="1" x14ac:dyDescent="0.35">
      <c r="A384" s="27"/>
      <c r="B384" s="28"/>
      <c r="C384" s="29"/>
      <c r="D384" s="30" t="s">
        <v>8</v>
      </c>
      <c r="E384" s="31"/>
      <c r="F384" s="32">
        <f>SUM(F380:F383)</f>
        <v>147015</v>
      </c>
    </row>
    <row r="385" spans="1:6" x14ac:dyDescent="0.3">
      <c r="A385" s="33" t="s">
        <v>9</v>
      </c>
      <c r="B385" s="34" t="s">
        <v>70</v>
      </c>
      <c r="C385" s="35"/>
      <c r="D385" s="35"/>
      <c r="E385" s="35"/>
      <c r="F385" s="36"/>
    </row>
    <row r="386" spans="1:6" x14ac:dyDescent="0.3">
      <c r="A386" s="37"/>
      <c r="B386" s="38" t="s">
        <v>90</v>
      </c>
      <c r="C386" s="39" t="s">
        <v>22</v>
      </c>
      <c r="D386" s="72">
        <v>0.04</v>
      </c>
      <c r="E386" s="41">
        <f>'HARGA BAHAN'!E27</f>
        <v>5200000</v>
      </c>
      <c r="F386" s="42">
        <f t="shared" ref="F386:F391" si="6">+D386*E386</f>
        <v>208000</v>
      </c>
    </row>
    <row r="387" spans="1:6" x14ac:dyDescent="0.3">
      <c r="A387" s="67"/>
      <c r="B387" s="19" t="s">
        <v>102</v>
      </c>
      <c r="C387" s="20" t="s">
        <v>19</v>
      </c>
      <c r="D387" s="73">
        <v>0.4</v>
      </c>
      <c r="E387" s="22">
        <f>'HARGA BAHAN'!E28</f>
        <v>25500</v>
      </c>
      <c r="F387" s="18">
        <f t="shared" si="6"/>
        <v>10200</v>
      </c>
    </row>
    <row r="388" spans="1:6" x14ac:dyDescent="0.3">
      <c r="A388" s="67"/>
      <c r="B388" s="19" t="s">
        <v>93</v>
      </c>
      <c r="C388" s="20" t="s">
        <v>80</v>
      </c>
      <c r="D388" s="73">
        <v>0.2</v>
      </c>
      <c r="E388" s="22">
        <f>'HARGA BAHAN'!E29</f>
        <v>21000</v>
      </c>
      <c r="F388" s="18">
        <f t="shared" si="6"/>
        <v>4200</v>
      </c>
    </row>
    <row r="389" spans="1:6" x14ac:dyDescent="0.3">
      <c r="A389" s="67"/>
      <c r="B389" s="19" t="s">
        <v>103</v>
      </c>
      <c r="C389" s="20" t="s">
        <v>22</v>
      </c>
      <c r="D389" s="73">
        <v>1.7999999999999999E-2</v>
      </c>
      <c r="E389" s="22">
        <f>'HARGA BAHAN'!E33</f>
        <v>7100000</v>
      </c>
      <c r="F389" s="18">
        <f t="shared" si="6"/>
        <v>127799.99999999999</v>
      </c>
    </row>
    <row r="390" spans="1:6" x14ac:dyDescent="0.3">
      <c r="A390" s="67"/>
      <c r="B390" s="19" t="s">
        <v>104</v>
      </c>
      <c r="C390" s="20" t="s">
        <v>51</v>
      </c>
      <c r="D390" s="73">
        <v>0.35</v>
      </c>
      <c r="E390" s="22">
        <f>'HARGA BAHAN'!E35</f>
        <v>215000</v>
      </c>
      <c r="F390" s="18">
        <f t="shared" si="6"/>
        <v>75250</v>
      </c>
    </row>
    <row r="391" spans="1:6" ht="17.25" thickBot="1" x14ac:dyDescent="0.35">
      <c r="A391" s="67"/>
      <c r="B391" s="19" t="s">
        <v>125</v>
      </c>
      <c r="C391" s="20" t="s">
        <v>105</v>
      </c>
      <c r="D391" s="73">
        <v>2</v>
      </c>
      <c r="E391" s="22">
        <f>'HARGA BAHAN'!E37</f>
        <v>120000</v>
      </c>
      <c r="F391" s="18">
        <f t="shared" si="6"/>
        <v>240000</v>
      </c>
    </row>
    <row r="392" spans="1:6" ht="17.25" thickBot="1" x14ac:dyDescent="0.35">
      <c r="A392" s="27"/>
      <c r="B392" s="43"/>
      <c r="C392" s="43"/>
      <c r="D392" s="44" t="s">
        <v>10</v>
      </c>
      <c r="E392" s="43"/>
      <c r="F392" s="32">
        <f>SUM(F386:F391)</f>
        <v>665450</v>
      </c>
    </row>
    <row r="393" spans="1:6" x14ac:dyDescent="0.3">
      <c r="A393" s="33" t="s">
        <v>11</v>
      </c>
      <c r="B393" s="34" t="s">
        <v>71</v>
      </c>
      <c r="C393" s="35"/>
      <c r="D393" s="35"/>
      <c r="E393" s="35"/>
      <c r="F393" s="36"/>
    </row>
    <row r="394" spans="1:6" ht="17.25" thickBot="1" x14ac:dyDescent="0.35">
      <c r="A394" s="45"/>
      <c r="B394" s="46"/>
      <c r="C394" s="47"/>
      <c r="D394" s="48"/>
      <c r="E394" s="49"/>
      <c r="F394" s="50"/>
    </row>
    <row r="395" spans="1:6" ht="17.25" thickBot="1" x14ac:dyDescent="0.35">
      <c r="A395" s="27"/>
      <c r="B395" s="28"/>
      <c r="C395" s="29"/>
      <c r="D395" s="30" t="s">
        <v>12</v>
      </c>
      <c r="E395" s="31"/>
      <c r="F395" s="32">
        <f>SUM(F394)</f>
        <v>0</v>
      </c>
    </row>
    <row r="396" spans="1:6" x14ac:dyDescent="0.3">
      <c r="A396" s="33" t="s">
        <v>13</v>
      </c>
      <c r="B396" s="34" t="s">
        <v>14</v>
      </c>
      <c r="C396" s="51"/>
      <c r="D396" s="51"/>
      <c r="E396" s="52"/>
      <c r="F396" s="53">
        <f>+F384+F392+F395</f>
        <v>812465</v>
      </c>
    </row>
    <row r="397" spans="1:6" x14ac:dyDescent="0.3">
      <c r="A397" s="9" t="s">
        <v>15</v>
      </c>
      <c r="B397" s="10" t="s">
        <v>49</v>
      </c>
      <c r="C397" s="54"/>
      <c r="D397" s="54"/>
      <c r="E397" s="55"/>
      <c r="F397" s="56">
        <f>F396*15%</f>
        <v>121869.75</v>
      </c>
    </row>
    <row r="398" spans="1:6" ht="17.25" thickBot="1" x14ac:dyDescent="0.35">
      <c r="A398" s="57" t="s">
        <v>16</v>
      </c>
      <c r="B398" s="58" t="s">
        <v>17</v>
      </c>
      <c r="C398" s="59"/>
      <c r="D398" s="59"/>
      <c r="E398" s="60"/>
      <c r="F398" s="61">
        <f>SUM(F396:F397)</f>
        <v>934334.75</v>
      </c>
    </row>
    <row r="399" spans="1:6" ht="17.25" thickBot="1" x14ac:dyDescent="0.35">
      <c r="A399" s="92"/>
      <c r="B399" s="93" t="s">
        <v>146</v>
      </c>
      <c r="C399" s="30"/>
      <c r="D399" s="30"/>
      <c r="E399" s="30"/>
      <c r="F399" s="94">
        <f>F398/2</f>
        <v>467167.375</v>
      </c>
    </row>
    <row r="401" spans="1:6" ht="17.25" thickBot="1" x14ac:dyDescent="0.35">
      <c r="A401" s="70" t="s">
        <v>336</v>
      </c>
      <c r="B401" s="1" t="s">
        <v>337</v>
      </c>
      <c r="C401" s="2"/>
      <c r="D401" s="2"/>
      <c r="E401" s="2"/>
      <c r="F401" s="2"/>
    </row>
    <row r="402" spans="1:6" ht="26.25" thickBot="1" x14ac:dyDescent="0.35">
      <c r="A402" s="3" t="s">
        <v>2</v>
      </c>
      <c r="B402" s="4" t="s">
        <v>3</v>
      </c>
      <c r="C402" s="4" t="s">
        <v>0</v>
      </c>
      <c r="D402" s="4" t="s">
        <v>4</v>
      </c>
      <c r="E402" s="4" t="s">
        <v>5</v>
      </c>
      <c r="F402" s="5" t="s">
        <v>6</v>
      </c>
    </row>
    <row r="403" spans="1:6" x14ac:dyDescent="0.3">
      <c r="A403" s="6">
        <v>1</v>
      </c>
      <c r="B403" s="7">
        <v>2</v>
      </c>
      <c r="C403" s="7">
        <v>3</v>
      </c>
      <c r="D403" s="7">
        <v>4</v>
      </c>
      <c r="E403" s="7">
        <v>5</v>
      </c>
      <c r="F403" s="8">
        <v>6</v>
      </c>
    </row>
    <row r="404" spans="1:6" x14ac:dyDescent="0.3">
      <c r="A404" s="9" t="s">
        <v>1</v>
      </c>
      <c r="B404" s="10" t="s">
        <v>69</v>
      </c>
      <c r="C404" s="11"/>
      <c r="D404" s="11"/>
      <c r="E404" s="11"/>
      <c r="F404" s="12"/>
    </row>
    <row r="405" spans="1:6" x14ac:dyDescent="0.3">
      <c r="A405" s="13"/>
      <c r="B405" s="14" t="s">
        <v>38</v>
      </c>
      <c r="C405" s="15" t="s">
        <v>7</v>
      </c>
      <c r="D405" s="16">
        <v>0.66</v>
      </c>
      <c r="E405" s="17">
        <f t="shared" ref="E405:E408" si="7">E380</f>
        <v>125000</v>
      </c>
      <c r="F405" s="18">
        <f>+D405*E405</f>
        <v>82500</v>
      </c>
    </row>
    <row r="406" spans="1:6" x14ac:dyDescent="0.3">
      <c r="A406" s="13"/>
      <c r="B406" s="19" t="s">
        <v>78</v>
      </c>
      <c r="C406" s="20" t="s">
        <v>7</v>
      </c>
      <c r="D406" s="21">
        <v>0.33</v>
      </c>
      <c r="E406" s="17">
        <f t="shared" si="7"/>
        <v>160000</v>
      </c>
      <c r="F406" s="18">
        <f>+D406*E406</f>
        <v>52800</v>
      </c>
    </row>
    <row r="407" spans="1:6" x14ac:dyDescent="0.3">
      <c r="A407" s="13"/>
      <c r="B407" s="14" t="s">
        <v>79</v>
      </c>
      <c r="C407" s="15" t="s">
        <v>7</v>
      </c>
      <c r="D407" s="16">
        <v>3.3000000000000002E-2</v>
      </c>
      <c r="E407" s="17">
        <f t="shared" si="7"/>
        <v>180000</v>
      </c>
      <c r="F407" s="18">
        <f>+D407*E407</f>
        <v>5940</v>
      </c>
    </row>
    <row r="408" spans="1:6" ht="17.25" thickBot="1" x14ac:dyDescent="0.35">
      <c r="A408" s="23"/>
      <c r="B408" s="24" t="s">
        <v>40</v>
      </c>
      <c r="C408" s="25" t="s">
        <v>7</v>
      </c>
      <c r="D408" s="26">
        <v>3.3000000000000002E-2</v>
      </c>
      <c r="E408" s="17">
        <f t="shared" si="7"/>
        <v>175000</v>
      </c>
      <c r="F408" s="18">
        <f>+D408*E408</f>
        <v>5775</v>
      </c>
    </row>
    <row r="409" spans="1:6" ht="17.25" thickBot="1" x14ac:dyDescent="0.35">
      <c r="A409" s="27"/>
      <c r="B409" s="28"/>
      <c r="C409" s="29"/>
      <c r="D409" s="30" t="s">
        <v>8</v>
      </c>
      <c r="E409" s="31"/>
      <c r="F409" s="32">
        <f>SUM(F405:F408)</f>
        <v>147015</v>
      </c>
    </row>
    <row r="410" spans="1:6" x14ac:dyDescent="0.3">
      <c r="A410" s="33" t="s">
        <v>9</v>
      </c>
      <c r="B410" s="34" t="s">
        <v>70</v>
      </c>
      <c r="C410" s="35"/>
      <c r="D410" s="35"/>
      <c r="E410" s="35"/>
      <c r="F410" s="36"/>
    </row>
    <row r="411" spans="1:6" x14ac:dyDescent="0.3">
      <c r="A411" s="37"/>
      <c r="B411" s="38" t="s">
        <v>90</v>
      </c>
      <c r="C411" s="39" t="s">
        <v>22</v>
      </c>
      <c r="D411" s="72">
        <v>0.04</v>
      </c>
      <c r="E411" s="41">
        <f t="shared" ref="E411:E416" si="8">E386</f>
        <v>5200000</v>
      </c>
      <c r="F411" s="42">
        <f t="shared" ref="F411:F416" si="9">+D411*E411</f>
        <v>208000</v>
      </c>
    </row>
    <row r="412" spans="1:6" x14ac:dyDescent="0.3">
      <c r="A412" s="67"/>
      <c r="B412" s="19" t="s">
        <v>102</v>
      </c>
      <c r="C412" s="20" t="s">
        <v>19</v>
      </c>
      <c r="D412" s="73">
        <v>0.4</v>
      </c>
      <c r="E412" s="22">
        <f t="shared" si="8"/>
        <v>25500</v>
      </c>
      <c r="F412" s="18">
        <f t="shared" si="9"/>
        <v>10200</v>
      </c>
    </row>
    <row r="413" spans="1:6" x14ac:dyDescent="0.3">
      <c r="A413" s="67"/>
      <c r="B413" s="19" t="s">
        <v>93</v>
      </c>
      <c r="C413" s="20" t="s">
        <v>80</v>
      </c>
      <c r="D413" s="73">
        <v>0.2</v>
      </c>
      <c r="E413" s="22">
        <f t="shared" si="8"/>
        <v>21000</v>
      </c>
      <c r="F413" s="18">
        <f t="shared" si="9"/>
        <v>4200</v>
      </c>
    </row>
    <row r="414" spans="1:6" x14ac:dyDescent="0.3">
      <c r="A414" s="67"/>
      <c r="B414" s="19" t="s">
        <v>338</v>
      </c>
      <c r="C414" s="20" t="s">
        <v>22</v>
      </c>
      <c r="D414" s="73">
        <v>1.4999999999999999E-2</v>
      </c>
      <c r="E414" s="22">
        <f>E386</f>
        <v>5200000</v>
      </c>
      <c r="F414" s="18">
        <f t="shared" si="9"/>
        <v>78000</v>
      </c>
    </row>
    <row r="415" spans="1:6" x14ac:dyDescent="0.3">
      <c r="A415" s="67"/>
      <c r="B415" s="19" t="s">
        <v>104</v>
      </c>
      <c r="C415" s="20" t="s">
        <v>51</v>
      </c>
      <c r="D415" s="73">
        <v>0.35</v>
      </c>
      <c r="E415" s="22">
        <f t="shared" si="8"/>
        <v>215000</v>
      </c>
      <c r="F415" s="18">
        <f t="shared" si="9"/>
        <v>75250</v>
      </c>
    </row>
    <row r="416" spans="1:6" ht="17.25" thickBot="1" x14ac:dyDescent="0.35">
      <c r="A416" s="67"/>
      <c r="B416" s="19" t="s">
        <v>125</v>
      </c>
      <c r="C416" s="20" t="s">
        <v>105</v>
      </c>
      <c r="D416" s="73">
        <v>6</v>
      </c>
      <c r="E416" s="22">
        <f t="shared" si="8"/>
        <v>120000</v>
      </c>
      <c r="F416" s="18">
        <f t="shared" si="9"/>
        <v>720000</v>
      </c>
    </row>
    <row r="417" spans="1:6" ht="17.25" thickBot="1" x14ac:dyDescent="0.35">
      <c r="A417" s="27"/>
      <c r="B417" s="43"/>
      <c r="C417" s="43"/>
      <c r="D417" s="44" t="s">
        <v>10</v>
      </c>
      <c r="E417" s="43"/>
      <c r="F417" s="32">
        <f>SUM(F411:F416)</f>
        <v>1095650</v>
      </c>
    </row>
    <row r="418" spans="1:6" x14ac:dyDescent="0.3">
      <c r="A418" s="33" t="s">
        <v>11</v>
      </c>
      <c r="B418" s="34" t="s">
        <v>71</v>
      </c>
      <c r="C418" s="35"/>
      <c r="D418" s="35"/>
      <c r="E418" s="35"/>
      <c r="F418" s="36"/>
    </row>
    <row r="419" spans="1:6" ht="17.25" thickBot="1" x14ac:dyDescent="0.35">
      <c r="A419" s="45"/>
      <c r="B419" s="46"/>
      <c r="C419" s="47"/>
      <c r="D419" s="48"/>
      <c r="E419" s="49"/>
      <c r="F419" s="50"/>
    </row>
    <row r="420" spans="1:6" ht="17.25" thickBot="1" x14ac:dyDescent="0.35">
      <c r="A420" s="27"/>
      <c r="B420" s="28"/>
      <c r="C420" s="29"/>
      <c r="D420" s="30" t="s">
        <v>12</v>
      </c>
      <c r="E420" s="31"/>
      <c r="F420" s="32">
        <f>SUM(F419)</f>
        <v>0</v>
      </c>
    </row>
    <row r="421" spans="1:6" x14ac:dyDescent="0.3">
      <c r="A421" s="33" t="s">
        <v>13</v>
      </c>
      <c r="B421" s="34" t="s">
        <v>14</v>
      </c>
      <c r="C421" s="51"/>
      <c r="D421" s="51"/>
      <c r="E421" s="52"/>
      <c r="F421" s="53">
        <f>+F409+F417+F420</f>
        <v>1242665</v>
      </c>
    </row>
    <row r="422" spans="1:6" x14ac:dyDescent="0.3">
      <c r="A422" s="9" t="s">
        <v>15</v>
      </c>
      <c r="B422" s="10" t="s">
        <v>49</v>
      </c>
      <c r="C422" s="54"/>
      <c r="D422" s="54"/>
      <c r="E422" s="55"/>
      <c r="F422" s="56">
        <f>F421*15%</f>
        <v>186399.75</v>
      </c>
    </row>
    <row r="423" spans="1:6" ht="17.25" thickBot="1" x14ac:dyDescent="0.35">
      <c r="A423" s="57" t="s">
        <v>16</v>
      </c>
      <c r="B423" s="58" t="s">
        <v>17</v>
      </c>
      <c r="C423" s="59"/>
      <c r="D423" s="59"/>
      <c r="E423" s="60"/>
      <c r="F423" s="61">
        <f>SUM(F421:F422)</f>
        <v>1429064.75</v>
      </c>
    </row>
    <row r="425" spans="1:6" ht="17.25" thickBot="1" x14ac:dyDescent="0.35">
      <c r="A425" s="70" t="s">
        <v>688</v>
      </c>
      <c r="B425" s="1" t="s">
        <v>330</v>
      </c>
      <c r="C425" s="2"/>
      <c r="D425" s="2"/>
      <c r="E425" s="2"/>
      <c r="F425" s="2"/>
    </row>
    <row r="426" spans="1:6" ht="26.25" thickBot="1" x14ac:dyDescent="0.35">
      <c r="A426" s="3" t="s">
        <v>2</v>
      </c>
      <c r="B426" s="4" t="s">
        <v>3</v>
      </c>
      <c r="C426" s="4" t="s">
        <v>0</v>
      </c>
      <c r="D426" s="4" t="s">
        <v>4</v>
      </c>
      <c r="E426" s="4" t="s">
        <v>5</v>
      </c>
      <c r="F426" s="5" t="s">
        <v>6</v>
      </c>
    </row>
    <row r="427" spans="1:6" x14ac:dyDescent="0.3">
      <c r="A427" s="6">
        <v>1</v>
      </c>
      <c r="B427" s="7">
        <v>2</v>
      </c>
      <c r="C427" s="7">
        <v>3</v>
      </c>
      <c r="D427" s="7">
        <v>4</v>
      </c>
      <c r="E427" s="7">
        <v>5</v>
      </c>
      <c r="F427" s="8">
        <v>6</v>
      </c>
    </row>
    <row r="428" spans="1:6" x14ac:dyDescent="0.3">
      <c r="A428" s="9" t="s">
        <v>1</v>
      </c>
      <c r="B428" s="10" t="s">
        <v>69</v>
      </c>
      <c r="C428" s="11"/>
      <c r="D428" s="11"/>
      <c r="E428" s="11"/>
      <c r="F428" s="12"/>
    </row>
    <row r="429" spans="1:6" x14ac:dyDescent="0.3">
      <c r="A429" s="13"/>
      <c r="B429" s="14" t="s">
        <v>38</v>
      </c>
      <c r="C429" s="15" t="s">
        <v>7</v>
      </c>
      <c r="D429" s="16">
        <v>0.66</v>
      </c>
      <c r="E429" s="17">
        <f>'HARGA BAHAN'!E4</f>
        <v>125000</v>
      </c>
      <c r="F429" s="18">
        <f>+D429*E429</f>
        <v>82500</v>
      </c>
    </row>
    <row r="430" spans="1:6" x14ac:dyDescent="0.3">
      <c r="A430" s="13"/>
      <c r="B430" s="19" t="s">
        <v>78</v>
      </c>
      <c r="C430" s="20" t="s">
        <v>7</v>
      </c>
      <c r="D430" s="21">
        <v>0.33</v>
      </c>
      <c r="E430" s="17">
        <f>'HARGA BAHAN'!E5</f>
        <v>160000</v>
      </c>
      <c r="F430" s="18">
        <f>+D430*E430</f>
        <v>52800</v>
      </c>
    </row>
    <row r="431" spans="1:6" x14ac:dyDescent="0.3">
      <c r="A431" s="13"/>
      <c r="B431" s="14" t="s">
        <v>79</v>
      </c>
      <c r="C431" s="15" t="s">
        <v>7</v>
      </c>
      <c r="D431" s="16">
        <v>3.3000000000000002E-2</v>
      </c>
      <c r="E431" s="17">
        <f>'HARGA BAHAN'!E6</f>
        <v>180000</v>
      </c>
      <c r="F431" s="18">
        <f>+D431*E431</f>
        <v>5940</v>
      </c>
    </row>
    <row r="432" spans="1:6" ht="17.25" thickBot="1" x14ac:dyDescent="0.35">
      <c r="A432" s="23"/>
      <c r="B432" s="24" t="s">
        <v>40</v>
      </c>
      <c r="C432" s="25" t="s">
        <v>7</v>
      </c>
      <c r="D432" s="26">
        <v>3.3000000000000002E-2</v>
      </c>
      <c r="E432" s="17">
        <f>'HARGA BAHAN'!E7</f>
        <v>175000</v>
      </c>
      <c r="F432" s="18">
        <f>+D432*E432</f>
        <v>5775</v>
      </c>
    </row>
    <row r="433" spans="1:6" ht="17.25" thickBot="1" x14ac:dyDescent="0.35">
      <c r="A433" s="27"/>
      <c r="B433" s="28"/>
      <c r="C433" s="29"/>
      <c r="D433" s="30" t="s">
        <v>8</v>
      </c>
      <c r="E433" s="31"/>
      <c r="F433" s="32">
        <f>SUM(F429:F432)</f>
        <v>147015</v>
      </c>
    </row>
    <row r="434" spans="1:6" x14ac:dyDescent="0.3">
      <c r="A434" s="33" t="s">
        <v>9</v>
      </c>
      <c r="B434" s="34" t="s">
        <v>70</v>
      </c>
      <c r="C434" s="35"/>
      <c r="D434" s="35"/>
      <c r="E434" s="35"/>
      <c r="F434" s="36"/>
    </row>
    <row r="435" spans="1:6" x14ac:dyDescent="0.3">
      <c r="A435" s="37"/>
      <c r="B435" s="38" t="s">
        <v>331</v>
      </c>
      <c r="C435" s="39" t="s">
        <v>207</v>
      </c>
      <c r="D435" s="72">
        <v>0.03</v>
      </c>
      <c r="E435" s="41">
        <f>'HARGA BAHAN'!E27</f>
        <v>5200000</v>
      </c>
      <c r="F435" s="42">
        <f t="shared" ref="F435:F440" si="10">+D435*E435</f>
        <v>156000</v>
      </c>
    </row>
    <row r="436" spans="1:6" x14ac:dyDescent="0.3">
      <c r="A436" s="67"/>
      <c r="B436" s="19" t="s">
        <v>332</v>
      </c>
      <c r="C436" s="20" t="s">
        <v>19</v>
      </c>
      <c r="D436" s="73">
        <v>0.4</v>
      </c>
      <c r="E436" s="22">
        <f>'HARGA BAHAN'!E28</f>
        <v>25500</v>
      </c>
      <c r="F436" s="18">
        <f t="shared" si="10"/>
        <v>10200</v>
      </c>
    </row>
    <row r="437" spans="1:6" x14ac:dyDescent="0.3">
      <c r="A437" s="67"/>
      <c r="B437" s="19" t="s">
        <v>93</v>
      </c>
      <c r="C437" s="20" t="s">
        <v>19</v>
      </c>
      <c r="D437" s="73">
        <v>0.15</v>
      </c>
      <c r="E437" s="22">
        <f>'HARGA BAHAN'!E29</f>
        <v>21000</v>
      </c>
      <c r="F437" s="18">
        <f t="shared" si="10"/>
        <v>3150</v>
      </c>
    </row>
    <row r="438" spans="1:6" x14ac:dyDescent="0.3">
      <c r="A438" s="67"/>
      <c r="B438" s="19" t="s">
        <v>333</v>
      </c>
      <c r="C438" s="20" t="s">
        <v>207</v>
      </c>
      <c r="D438" s="73">
        <v>1.4999999999999999E-2</v>
      </c>
      <c r="E438" s="22">
        <f>'HARGA BAHAN'!E27</f>
        <v>5200000</v>
      </c>
      <c r="F438" s="18">
        <f t="shared" si="10"/>
        <v>78000</v>
      </c>
    </row>
    <row r="439" spans="1:6" x14ac:dyDescent="0.3">
      <c r="A439" s="67"/>
      <c r="B439" s="19" t="s">
        <v>334</v>
      </c>
      <c r="C439" s="20" t="s">
        <v>51</v>
      </c>
      <c r="D439" s="73">
        <v>0.35</v>
      </c>
      <c r="E439" s="22">
        <f>'HARGA BAHAN'!E35</f>
        <v>215000</v>
      </c>
      <c r="F439" s="18">
        <f t="shared" si="10"/>
        <v>75250</v>
      </c>
    </row>
    <row r="440" spans="1:6" ht="17.25" thickBot="1" x14ac:dyDescent="0.35">
      <c r="A440" s="67"/>
      <c r="B440" s="19" t="s">
        <v>335</v>
      </c>
      <c r="C440" s="20" t="s">
        <v>23</v>
      </c>
      <c r="D440" s="73">
        <v>2</v>
      </c>
      <c r="E440" s="22">
        <f>'HARGA BAHAN'!E37</f>
        <v>120000</v>
      </c>
      <c r="F440" s="18">
        <f t="shared" si="10"/>
        <v>240000</v>
      </c>
    </row>
    <row r="441" spans="1:6" ht="17.25" thickBot="1" x14ac:dyDescent="0.35">
      <c r="A441" s="27"/>
      <c r="B441" s="43"/>
      <c r="C441" s="43"/>
      <c r="D441" s="44" t="s">
        <v>10</v>
      </c>
      <c r="E441" s="43"/>
      <c r="F441" s="32">
        <f>SUM(F435:F440)</f>
        <v>562600</v>
      </c>
    </row>
    <row r="442" spans="1:6" x14ac:dyDescent="0.3">
      <c r="A442" s="33" t="s">
        <v>11</v>
      </c>
      <c r="B442" s="34" t="s">
        <v>71</v>
      </c>
      <c r="C442" s="35"/>
      <c r="D442" s="35"/>
      <c r="E442" s="35"/>
      <c r="F442" s="36"/>
    </row>
    <row r="443" spans="1:6" ht="17.25" thickBot="1" x14ac:dyDescent="0.35">
      <c r="A443" s="45"/>
      <c r="B443" s="46"/>
      <c r="C443" s="47"/>
      <c r="D443" s="48"/>
      <c r="E443" s="49"/>
      <c r="F443" s="50"/>
    </row>
    <row r="444" spans="1:6" ht="17.25" thickBot="1" x14ac:dyDescent="0.35">
      <c r="A444" s="27"/>
      <c r="B444" s="28"/>
      <c r="C444" s="29"/>
      <c r="D444" s="30" t="s">
        <v>12</v>
      </c>
      <c r="E444" s="31"/>
      <c r="F444" s="32">
        <f>SUM(F443)</f>
        <v>0</v>
      </c>
    </row>
    <row r="445" spans="1:6" x14ac:dyDescent="0.3">
      <c r="A445" s="33" t="s">
        <v>13</v>
      </c>
      <c r="B445" s="34" t="s">
        <v>14</v>
      </c>
      <c r="C445" s="51"/>
      <c r="D445" s="51"/>
      <c r="E445" s="52"/>
      <c r="F445" s="53">
        <f>+F433+F441+F444</f>
        <v>709615</v>
      </c>
    </row>
    <row r="446" spans="1:6" x14ac:dyDescent="0.3">
      <c r="A446" s="9" t="s">
        <v>15</v>
      </c>
      <c r="B446" s="10" t="s">
        <v>49</v>
      </c>
      <c r="C446" s="54"/>
      <c r="D446" s="54"/>
      <c r="E446" s="55"/>
      <c r="F446" s="56">
        <f>F445*15%</f>
        <v>106442.25</v>
      </c>
    </row>
    <row r="447" spans="1:6" ht="17.25" thickBot="1" x14ac:dyDescent="0.35">
      <c r="A447" s="57" t="s">
        <v>16</v>
      </c>
      <c r="B447" s="58" t="s">
        <v>17</v>
      </c>
      <c r="C447" s="59"/>
      <c r="D447" s="59"/>
      <c r="E447" s="60"/>
      <c r="F447" s="61">
        <f>SUM(F445:F446)</f>
        <v>816057.25</v>
      </c>
    </row>
    <row r="449" spans="1:6" x14ac:dyDescent="0.3">
      <c r="A449" s="70" t="s">
        <v>747</v>
      </c>
    </row>
    <row r="450" spans="1:6" ht="17.25" thickBot="1" x14ac:dyDescent="0.35">
      <c r="A450" s="70" t="s">
        <v>748</v>
      </c>
      <c r="B450" s="1" t="s">
        <v>749</v>
      </c>
      <c r="C450" s="2"/>
      <c r="D450" s="2"/>
      <c r="E450" s="2"/>
      <c r="F450" s="2"/>
    </row>
    <row r="451" spans="1:6" ht="26.25" thickBot="1" x14ac:dyDescent="0.35">
      <c r="A451" s="3" t="s">
        <v>2</v>
      </c>
      <c r="B451" s="4" t="s">
        <v>3</v>
      </c>
      <c r="C451" s="4" t="s">
        <v>0</v>
      </c>
      <c r="D451" s="4" t="s">
        <v>4</v>
      </c>
      <c r="E451" s="4" t="s">
        <v>5</v>
      </c>
      <c r="F451" s="5" t="s">
        <v>6</v>
      </c>
    </row>
    <row r="452" spans="1:6" x14ac:dyDescent="0.3">
      <c r="A452" s="6">
        <v>1</v>
      </c>
      <c r="B452" s="7">
        <v>2</v>
      </c>
      <c r="C452" s="7">
        <v>3</v>
      </c>
      <c r="D452" s="7">
        <v>4</v>
      </c>
      <c r="E452" s="7">
        <v>5</v>
      </c>
      <c r="F452" s="8">
        <v>6</v>
      </c>
    </row>
    <row r="453" spans="1:6" x14ac:dyDescent="0.3">
      <c r="A453" s="9" t="s">
        <v>1</v>
      </c>
      <c r="B453" s="10" t="s">
        <v>69</v>
      </c>
      <c r="C453" s="11"/>
      <c r="D453" s="11"/>
      <c r="E453" s="11"/>
      <c r="F453" s="12"/>
    </row>
    <row r="454" spans="1:6" x14ac:dyDescent="0.3">
      <c r="A454" s="13"/>
      <c r="B454" s="14" t="s">
        <v>38</v>
      </c>
      <c r="C454" s="15" t="s">
        <v>7</v>
      </c>
      <c r="D454" s="16">
        <v>4.1000000000000002E-2</v>
      </c>
      <c r="E454" s="17">
        <f>'HARGA BAHAN'!E4</f>
        <v>125000</v>
      </c>
      <c r="F454" s="18">
        <f>+D454*E454</f>
        <v>5125</v>
      </c>
    </row>
    <row r="455" spans="1:6" x14ac:dyDescent="0.3">
      <c r="A455" s="13"/>
      <c r="B455" s="19" t="s">
        <v>750</v>
      </c>
      <c r="C455" s="20" t="s">
        <v>7</v>
      </c>
      <c r="D455" s="21">
        <v>4.1000000000000002E-2</v>
      </c>
      <c r="E455" s="17">
        <f>'HARGA BAHAN'!E5</f>
        <v>160000</v>
      </c>
      <c r="F455" s="18">
        <f>+D455*E455</f>
        <v>6560</v>
      </c>
    </row>
    <row r="456" spans="1:6" x14ac:dyDescent="0.3">
      <c r="A456" s="13"/>
      <c r="B456" s="14" t="s">
        <v>79</v>
      </c>
      <c r="C456" s="15" t="s">
        <v>7</v>
      </c>
      <c r="D456" s="16">
        <v>4.1000000000000003E-3</v>
      </c>
      <c r="E456" s="17">
        <f>'HARGA BAHAN'!E6</f>
        <v>180000</v>
      </c>
      <c r="F456" s="18">
        <f>+D456*E456</f>
        <v>738.00000000000011</v>
      </c>
    </row>
    <row r="457" spans="1:6" ht="17.25" thickBot="1" x14ac:dyDescent="0.35">
      <c r="A457" s="23"/>
      <c r="B457" s="24" t="s">
        <v>40</v>
      </c>
      <c r="C457" s="25" t="s">
        <v>7</v>
      </c>
      <c r="D457" s="26">
        <v>2.0500000000000002E-3</v>
      </c>
      <c r="E457" s="17">
        <f>'HARGA BAHAN'!E7</f>
        <v>175000</v>
      </c>
      <c r="F457" s="18">
        <f>+D457*E457</f>
        <v>358.75000000000006</v>
      </c>
    </row>
    <row r="458" spans="1:6" ht="17.25" thickBot="1" x14ac:dyDescent="0.35">
      <c r="A458" s="27"/>
      <c r="B458" s="28"/>
      <c r="C458" s="29"/>
      <c r="D458" s="30" t="s">
        <v>8</v>
      </c>
      <c r="E458" s="31"/>
      <c r="F458" s="32">
        <f>SUM(F454:F457)</f>
        <v>12781.75</v>
      </c>
    </row>
    <row r="459" spans="1:6" x14ac:dyDescent="0.3">
      <c r="A459" s="33" t="s">
        <v>9</v>
      </c>
      <c r="B459" s="34" t="s">
        <v>70</v>
      </c>
      <c r="C459" s="35"/>
      <c r="D459" s="35"/>
      <c r="E459" s="35"/>
      <c r="F459" s="36"/>
    </row>
    <row r="460" spans="1:6" x14ac:dyDescent="0.3">
      <c r="A460" s="37"/>
      <c r="B460" s="38" t="s">
        <v>751</v>
      </c>
      <c r="C460" s="39" t="s">
        <v>186</v>
      </c>
      <c r="D460" s="72">
        <v>1.1499999999999999</v>
      </c>
      <c r="E460" s="41">
        <f>'HARGA BAHAN'!E22</f>
        <v>19200</v>
      </c>
      <c r="F460" s="42">
        <f>+D460*E460</f>
        <v>22080</v>
      </c>
    </row>
    <row r="461" spans="1:6" x14ac:dyDescent="0.3">
      <c r="A461" s="67"/>
      <c r="B461" s="19" t="s">
        <v>752</v>
      </c>
      <c r="C461" s="20" t="s">
        <v>247</v>
      </c>
      <c r="D461" s="73">
        <v>0.35</v>
      </c>
      <c r="E461" s="22">
        <f>'HARGA BAHAN'!E92</f>
        <v>6800</v>
      </c>
      <c r="F461" s="18">
        <f>+D461*E461</f>
        <v>2380</v>
      </c>
    </row>
    <row r="462" spans="1:6" ht="17.25" thickBot="1" x14ac:dyDescent="0.35">
      <c r="A462" s="67"/>
      <c r="B462" s="19" t="s">
        <v>753</v>
      </c>
      <c r="C462" s="20" t="s">
        <v>247</v>
      </c>
      <c r="D462" s="73">
        <v>3.5000000000000003E-2</v>
      </c>
      <c r="E462" s="22">
        <f>'HARGA BAHAN'!E93</f>
        <v>68700</v>
      </c>
      <c r="F462" s="18">
        <f>+D462*E462</f>
        <v>2404.5000000000005</v>
      </c>
    </row>
    <row r="463" spans="1:6" ht="17.25" thickBot="1" x14ac:dyDescent="0.35">
      <c r="A463" s="27"/>
      <c r="B463" s="43"/>
      <c r="C463" s="43"/>
      <c r="D463" s="44" t="s">
        <v>10</v>
      </c>
      <c r="E463" s="43"/>
      <c r="F463" s="32">
        <f>SUM(F460:F462)</f>
        <v>26864.5</v>
      </c>
    </row>
    <row r="464" spans="1:6" x14ac:dyDescent="0.3">
      <c r="A464" s="33" t="s">
        <v>11</v>
      </c>
      <c r="B464" s="34" t="s">
        <v>71</v>
      </c>
      <c r="C464" s="35"/>
      <c r="D464" s="35"/>
      <c r="E464" s="35"/>
      <c r="F464" s="36"/>
    </row>
    <row r="465" spans="1:6" ht="17.25" thickBot="1" x14ac:dyDescent="0.35">
      <c r="A465" s="45"/>
      <c r="B465" s="46"/>
      <c r="C465" s="47"/>
      <c r="D465" s="48"/>
      <c r="E465" s="49"/>
      <c r="F465" s="50"/>
    </row>
    <row r="466" spans="1:6" ht="17.25" thickBot="1" x14ac:dyDescent="0.35">
      <c r="A466" s="27"/>
      <c r="B466" s="28"/>
      <c r="C466" s="29"/>
      <c r="D466" s="30" t="s">
        <v>12</v>
      </c>
      <c r="E466" s="31"/>
      <c r="F466" s="32">
        <f>SUM(F465)</f>
        <v>0</v>
      </c>
    </row>
    <row r="467" spans="1:6" x14ac:dyDescent="0.3">
      <c r="A467" s="33" t="s">
        <v>13</v>
      </c>
      <c r="B467" s="34" t="s">
        <v>14</v>
      </c>
      <c r="C467" s="51"/>
      <c r="D467" s="51"/>
      <c r="E467" s="52"/>
      <c r="F467" s="53">
        <f>+F458+F463+F466</f>
        <v>39646.25</v>
      </c>
    </row>
    <row r="468" spans="1:6" x14ac:dyDescent="0.3">
      <c r="A468" s="9" t="s">
        <v>15</v>
      </c>
      <c r="B468" s="10" t="s">
        <v>49</v>
      </c>
      <c r="C468" s="54"/>
      <c r="D468" s="54"/>
      <c r="E468" s="55"/>
      <c r="F468" s="56">
        <f>F467*15%</f>
        <v>5946.9375</v>
      </c>
    </row>
    <row r="469" spans="1:6" ht="17.25" thickBot="1" x14ac:dyDescent="0.35">
      <c r="A469" s="57" t="s">
        <v>16</v>
      </c>
      <c r="B469" s="58" t="s">
        <v>17</v>
      </c>
      <c r="C469" s="59"/>
      <c r="D469" s="59"/>
      <c r="E469" s="60"/>
      <c r="F469" s="61">
        <f>SUM(F467:F468)</f>
        <v>45593.1875</v>
      </c>
    </row>
    <row r="471" spans="1:6" ht="17.25" thickBot="1" x14ac:dyDescent="0.35">
      <c r="A471" s="95" t="s">
        <v>147</v>
      </c>
      <c r="B471" s="1" t="s">
        <v>669</v>
      </c>
      <c r="C471" s="2"/>
      <c r="D471" s="2"/>
      <c r="E471" s="2"/>
      <c r="F471" s="2"/>
    </row>
    <row r="472" spans="1:6" ht="26.25" thickBot="1" x14ac:dyDescent="0.35">
      <c r="A472" s="3" t="s">
        <v>2</v>
      </c>
      <c r="B472" s="4" t="s">
        <v>3</v>
      </c>
      <c r="C472" s="4" t="s">
        <v>0</v>
      </c>
      <c r="D472" s="4" t="s">
        <v>4</v>
      </c>
      <c r="E472" s="4" t="s">
        <v>5</v>
      </c>
      <c r="F472" s="5" t="s">
        <v>6</v>
      </c>
    </row>
    <row r="473" spans="1:6" x14ac:dyDescent="0.3">
      <c r="A473" s="6">
        <v>1</v>
      </c>
      <c r="B473" s="7">
        <v>2</v>
      </c>
      <c r="C473" s="7">
        <v>3</v>
      </c>
      <c r="D473" s="7">
        <v>4</v>
      </c>
      <c r="E473" s="7">
        <v>5</v>
      </c>
      <c r="F473" s="8">
        <v>6</v>
      </c>
    </row>
    <row r="474" spans="1:6" x14ac:dyDescent="0.3">
      <c r="A474" s="9" t="s">
        <v>1</v>
      </c>
      <c r="B474" s="10" t="s">
        <v>69</v>
      </c>
      <c r="C474" s="11"/>
      <c r="D474" s="11"/>
      <c r="E474" s="11"/>
      <c r="F474" s="12"/>
    </row>
    <row r="475" spans="1:6" x14ac:dyDescent="0.3">
      <c r="A475" s="13"/>
      <c r="B475" s="14" t="s">
        <v>38</v>
      </c>
      <c r="C475" s="15" t="s">
        <v>7</v>
      </c>
      <c r="D475" s="16">
        <v>0.37</v>
      </c>
      <c r="E475" s="17">
        <f>'HARGA BAHAN'!E4</f>
        <v>125000</v>
      </c>
      <c r="F475" s="18">
        <f>+D475*E475</f>
        <v>46250</v>
      </c>
    </row>
    <row r="476" spans="1:6" x14ac:dyDescent="0.3">
      <c r="A476" s="13"/>
      <c r="B476" s="19" t="s">
        <v>78</v>
      </c>
      <c r="C476" s="20" t="s">
        <v>7</v>
      </c>
      <c r="D476" s="21">
        <v>0.37</v>
      </c>
      <c r="E476" s="17">
        <f>'HARGA BAHAN'!E5</f>
        <v>160000</v>
      </c>
      <c r="F476" s="18">
        <f>+D476*E476</f>
        <v>59200</v>
      </c>
    </row>
    <row r="477" spans="1:6" x14ac:dyDescent="0.3">
      <c r="A477" s="13"/>
      <c r="B477" s="14" t="s">
        <v>79</v>
      </c>
      <c r="C477" s="15" t="s">
        <v>7</v>
      </c>
      <c r="D477" s="16">
        <v>3.6999999999999998E-2</v>
      </c>
      <c r="E477" s="17">
        <f>'HARGA BAHAN'!E6</f>
        <v>180000</v>
      </c>
      <c r="F477" s="18">
        <f>+D477*E477</f>
        <v>6660</v>
      </c>
    </row>
    <row r="478" spans="1:6" ht="17.25" thickBot="1" x14ac:dyDescent="0.35">
      <c r="A478" s="23"/>
      <c r="B478" s="24" t="s">
        <v>40</v>
      </c>
      <c r="C478" s="25" t="s">
        <v>7</v>
      </c>
      <c r="D478" s="26">
        <v>3.6999999999999998E-2</v>
      </c>
      <c r="E478" s="17">
        <f>'HARGA BAHAN'!E7</f>
        <v>175000</v>
      </c>
      <c r="F478" s="18">
        <f>+D478*E478</f>
        <v>6475</v>
      </c>
    </row>
    <row r="479" spans="1:6" ht="17.25" thickBot="1" x14ac:dyDescent="0.35">
      <c r="A479" s="27"/>
      <c r="B479" s="28"/>
      <c r="C479" s="29"/>
      <c r="D479" s="30" t="s">
        <v>8</v>
      </c>
      <c r="E479" s="31"/>
      <c r="F479" s="32">
        <f>SUM(F475:F478)</f>
        <v>118585</v>
      </c>
    </row>
    <row r="480" spans="1:6" x14ac:dyDescent="0.3">
      <c r="A480" s="33" t="s">
        <v>9</v>
      </c>
      <c r="B480" s="34" t="s">
        <v>70</v>
      </c>
      <c r="C480" s="35"/>
      <c r="D480" s="35"/>
      <c r="E480" s="35"/>
      <c r="F480" s="36"/>
    </row>
    <row r="481" spans="1:6" x14ac:dyDescent="0.3">
      <c r="A481" s="37"/>
      <c r="B481" s="38" t="s">
        <v>148</v>
      </c>
      <c r="C481" s="39" t="s">
        <v>135</v>
      </c>
      <c r="D481" s="72">
        <v>2</v>
      </c>
      <c r="E481" s="41">
        <f>'HARGA BAHAN'!E46</f>
        <v>20500</v>
      </c>
      <c r="F481" s="42">
        <f>+D481*E481</f>
        <v>41000</v>
      </c>
    </row>
    <row r="482" spans="1:6" x14ac:dyDescent="0.3">
      <c r="A482" s="13"/>
      <c r="B482" s="14" t="s">
        <v>149</v>
      </c>
      <c r="C482" s="15" t="s">
        <v>135</v>
      </c>
      <c r="D482" s="74">
        <v>2.2000000000000002</v>
      </c>
      <c r="E482" s="17">
        <f>'HARGA BAHAN'!E79</f>
        <v>8925</v>
      </c>
      <c r="F482" s="18">
        <f t="shared" ref="F482:F483" si="11">+D482*E482</f>
        <v>19635</v>
      </c>
    </row>
    <row r="483" spans="1:6" x14ac:dyDescent="0.3">
      <c r="A483" s="13"/>
      <c r="B483" s="14" t="s">
        <v>150</v>
      </c>
      <c r="C483" s="15" t="s">
        <v>137</v>
      </c>
      <c r="D483" s="74">
        <v>0.4</v>
      </c>
      <c r="E483" s="17">
        <f>'HARGA BAHAN'!E80</f>
        <v>4200</v>
      </c>
      <c r="F483" s="18">
        <f t="shared" si="11"/>
        <v>1680</v>
      </c>
    </row>
    <row r="484" spans="1:6" ht="17.25" thickBot="1" x14ac:dyDescent="0.35">
      <c r="A484" s="76"/>
      <c r="B484" s="77" t="s">
        <v>151</v>
      </c>
      <c r="C484" s="78" t="s">
        <v>137</v>
      </c>
      <c r="D484" s="79">
        <v>12</v>
      </c>
      <c r="E484" s="80">
        <f>'HARGA BAHAN'!E77</f>
        <v>420</v>
      </c>
      <c r="F484" s="71">
        <f>+D484*E484</f>
        <v>5040</v>
      </c>
    </row>
    <row r="485" spans="1:6" ht="17.25" thickBot="1" x14ac:dyDescent="0.35">
      <c r="A485" s="27"/>
      <c r="B485" s="43"/>
      <c r="C485" s="43"/>
      <c r="D485" s="44" t="s">
        <v>10</v>
      </c>
      <c r="E485" s="43"/>
      <c r="F485" s="32">
        <f>SUM(F481:F484)</f>
        <v>67355</v>
      </c>
    </row>
    <row r="486" spans="1:6" x14ac:dyDescent="0.3">
      <c r="A486" s="33" t="s">
        <v>11</v>
      </c>
      <c r="B486" s="34" t="s">
        <v>71</v>
      </c>
      <c r="C486" s="35"/>
      <c r="D486" s="35"/>
      <c r="E486" s="35"/>
      <c r="F486" s="36"/>
    </row>
    <row r="487" spans="1:6" ht="17.25" thickBot="1" x14ac:dyDescent="0.35">
      <c r="A487" s="45"/>
      <c r="B487" s="46"/>
      <c r="C487" s="47"/>
      <c r="D487" s="48"/>
      <c r="E487" s="49"/>
      <c r="F487" s="50"/>
    </row>
    <row r="488" spans="1:6" ht="17.25" thickBot="1" x14ac:dyDescent="0.35">
      <c r="A488" s="27"/>
      <c r="B488" s="28"/>
      <c r="C488" s="29"/>
      <c r="D488" s="30" t="s">
        <v>12</v>
      </c>
      <c r="E488" s="31"/>
      <c r="F488" s="32">
        <f>SUM(F487)</f>
        <v>0</v>
      </c>
    </row>
    <row r="489" spans="1:6" x14ac:dyDescent="0.3">
      <c r="A489" s="33" t="s">
        <v>13</v>
      </c>
      <c r="B489" s="34" t="s">
        <v>14</v>
      </c>
      <c r="C489" s="51"/>
      <c r="D489" s="51"/>
      <c r="E489" s="52"/>
      <c r="F489" s="53">
        <f>+F479+F485+F488</f>
        <v>185940</v>
      </c>
    </row>
    <row r="490" spans="1:6" x14ac:dyDescent="0.3">
      <c r="A490" s="9" t="s">
        <v>15</v>
      </c>
      <c r="B490" s="10" t="s">
        <v>49</v>
      </c>
      <c r="C490" s="54"/>
      <c r="D490" s="54"/>
      <c r="E490" s="55"/>
      <c r="F490" s="56">
        <f>F489*15%</f>
        <v>27891</v>
      </c>
    </row>
    <row r="491" spans="1:6" ht="17.25" thickBot="1" x14ac:dyDescent="0.35">
      <c r="A491" s="57" t="s">
        <v>16</v>
      </c>
      <c r="B491" s="58" t="s">
        <v>17</v>
      </c>
      <c r="C491" s="59"/>
      <c r="D491" s="59"/>
      <c r="E491" s="60"/>
      <c r="F491" s="61">
        <f>SUM(F489:F490)</f>
        <v>213831</v>
      </c>
    </row>
    <row r="493" spans="1:6" ht="17.25" thickBot="1" x14ac:dyDescent="0.35">
      <c r="A493" s="95" t="s">
        <v>205</v>
      </c>
      <c r="B493" s="1" t="s">
        <v>804</v>
      </c>
      <c r="C493" s="2"/>
      <c r="D493" s="2"/>
      <c r="E493" s="2"/>
      <c r="F493" s="2"/>
    </row>
    <row r="494" spans="1:6" ht="26.25" thickBot="1" x14ac:dyDescent="0.35">
      <c r="A494" s="3" t="s">
        <v>2</v>
      </c>
      <c r="B494" s="4" t="s">
        <v>3</v>
      </c>
      <c r="C494" s="4" t="s">
        <v>0</v>
      </c>
      <c r="D494" s="4" t="s">
        <v>4</v>
      </c>
      <c r="E494" s="4" t="s">
        <v>5</v>
      </c>
      <c r="F494" s="5" t="s">
        <v>6</v>
      </c>
    </row>
    <row r="495" spans="1:6" x14ac:dyDescent="0.3">
      <c r="A495" s="6">
        <v>1</v>
      </c>
      <c r="B495" s="7">
        <v>2</v>
      </c>
      <c r="C495" s="7">
        <v>3</v>
      </c>
      <c r="D495" s="7">
        <v>4</v>
      </c>
      <c r="E495" s="7">
        <v>5</v>
      </c>
      <c r="F495" s="8">
        <v>6</v>
      </c>
    </row>
    <row r="496" spans="1:6" x14ac:dyDescent="0.3">
      <c r="A496" s="9" t="s">
        <v>1</v>
      </c>
      <c r="B496" s="10" t="s">
        <v>69</v>
      </c>
      <c r="C496" s="11"/>
      <c r="D496" s="11"/>
      <c r="E496" s="11"/>
      <c r="F496" s="12"/>
    </row>
    <row r="497" spans="1:6" x14ac:dyDescent="0.3">
      <c r="A497" s="13"/>
      <c r="B497" s="14" t="s">
        <v>38</v>
      </c>
      <c r="C497" s="15" t="s">
        <v>7</v>
      </c>
      <c r="D497" s="16">
        <v>0.37</v>
      </c>
      <c r="E497" s="17">
        <f>'HARGA BAHAN'!E4</f>
        <v>125000</v>
      </c>
      <c r="F497" s="18">
        <f>+D497*E497</f>
        <v>46250</v>
      </c>
    </row>
    <row r="498" spans="1:6" x14ac:dyDescent="0.3">
      <c r="A498" s="13"/>
      <c r="B498" s="19" t="s">
        <v>78</v>
      </c>
      <c r="C498" s="20" t="s">
        <v>7</v>
      </c>
      <c r="D498" s="21">
        <v>0.37</v>
      </c>
      <c r="E498" s="17">
        <f>'HARGA BAHAN'!E5</f>
        <v>160000</v>
      </c>
      <c r="F498" s="18">
        <f>+D498*E498</f>
        <v>59200</v>
      </c>
    </row>
    <row r="499" spans="1:6" x14ac:dyDescent="0.3">
      <c r="A499" s="13"/>
      <c r="B499" s="14" t="s">
        <v>79</v>
      </c>
      <c r="C499" s="15" t="s">
        <v>7</v>
      </c>
      <c r="D499" s="16">
        <v>3.6999999999999998E-2</v>
      </c>
      <c r="E499" s="17">
        <f>'HARGA BAHAN'!E6</f>
        <v>180000</v>
      </c>
      <c r="F499" s="18">
        <f>+D499*E499</f>
        <v>6660</v>
      </c>
    </row>
    <row r="500" spans="1:6" ht="17.25" thickBot="1" x14ac:dyDescent="0.35">
      <c r="A500" s="23"/>
      <c r="B500" s="24" t="s">
        <v>40</v>
      </c>
      <c r="C500" s="25" t="s">
        <v>7</v>
      </c>
      <c r="D500" s="26">
        <v>3.6999999999999998E-2</v>
      </c>
      <c r="E500" s="17">
        <f>'HARGA BAHAN'!E7</f>
        <v>175000</v>
      </c>
      <c r="F500" s="18">
        <f>+D500*E500</f>
        <v>6475</v>
      </c>
    </row>
    <row r="501" spans="1:6" ht="17.25" thickBot="1" x14ac:dyDescent="0.35">
      <c r="A501" s="27"/>
      <c r="B501" s="28"/>
      <c r="C501" s="29"/>
      <c r="D501" s="30" t="s">
        <v>8</v>
      </c>
      <c r="E501" s="31"/>
      <c r="F501" s="32">
        <f>SUM(F497:F500)</f>
        <v>118585</v>
      </c>
    </row>
    <row r="502" spans="1:6" x14ac:dyDescent="0.3">
      <c r="A502" s="33" t="s">
        <v>9</v>
      </c>
      <c r="B502" s="34" t="s">
        <v>70</v>
      </c>
      <c r="C502" s="35"/>
      <c r="D502" s="35"/>
      <c r="E502" s="35"/>
      <c r="F502" s="36"/>
    </row>
    <row r="503" spans="1:6" x14ac:dyDescent="0.3">
      <c r="A503" s="37"/>
      <c r="B503" s="38" t="s">
        <v>148</v>
      </c>
      <c r="C503" s="39" t="s">
        <v>135</v>
      </c>
      <c r="D503" s="72">
        <f>2*2</f>
        <v>4</v>
      </c>
      <c r="E503" s="41">
        <f>'HARGA BAHAN'!E46</f>
        <v>20500</v>
      </c>
      <c r="F503" s="42">
        <f>+D503*E503</f>
        <v>82000</v>
      </c>
    </row>
    <row r="504" spans="1:6" x14ac:dyDescent="0.3">
      <c r="A504" s="13"/>
      <c r="B504" s="14" t="s">
        <v>149</v>
      </c>
      <c r="C504" s="15" t="s">
        <v>135</v>
      </c>
      <c r="D504" s="74">
        <f>2.2*2</f>
        <v>4.4000000000000004</v>
      </c>
      <c r="E504" s="17">
        <f>'HARGA BAHAN'!E79</f>
        <v>8925</v>
      </c>
      <c r="F504" s="18">
        <f t="shared" ref="F504:F505" si="12">+D504*E504</f>
        <v>39270</v>
      </c>
    </row>
    <row r="505" spans="1:6" x14ac:dyDescent="0.3">
      <c r="A505" s="13"/>
      <c r="B505" s="14" t="s">
        <v>150</v>
      </c>
      <c r="C505" s="15" t="s">
        <v>137</v>
      </c>
      <c r="D505" s="74">
        <f>0.4*2</f>
        <v>0.8</v>
      </c>
      <c r="E505" s="17">
        <f>'HARGA BAHAN'!E80</f>
        <v>4200</v>
      </c>
      <c r="F505" s="18">
        <f t="shared" si="12"/>
        <v>3360</v>
      </c>
    </row>
    <row r="506" spans="1:6" ht="17.25" thickBot="1" x14ac:dyDescent="0.35">
      <c r="A506" s="76"/>
      <c r="B506" s="77" t="s">
        <v>151</v>
      </c>
      <c r="C506" s="78" t="s">
        <v>137</v>
      </c>
      <c r="D506" s="79">
        <f>12*2</f>
        <v>24</v>
      </c>
      <c r="E506" s="80">
        <f>'HARGA BAHAN'!E77</f>
        <v>420</v>
      </c>
      <c r="F506" s="71">
        <f>+D506*E506</f>
        <v>10080</v>
      </c>
    </row>
    <row r="507" spans="1:6" ht="17.25" thickBot="1" x14ac:dyDescent="0.35">
      <c r="A507" s="27"/>
      <c r="B507" s="43"/>
      <c r="C507" s="43"/>
      <c r="D507" s="44" t="s">
        <v>10</v>
      </c>
      <c r="E507" s="43"/>
      <c r="F507" s="32">
        <f>SUM(F503:F506)</f>
        <v>134710</v>
      </c>
    </row>
    <row r="508" spans="1:6" x14ac:dyDescent="0.3">
      <c r="A508" s="33" t="s">
        <v>11</v>
      </c>
      <c r="B508" s="34" t="s">
        <v>71</v>
      </c>
      <c r="C508" s="35"/>
      <c r="D508" s="35"/>
      <c r="E508" s="35"/>
      <c r="F508" s="36"/>
    </row>
    <row r="509" spans="1:6" ht="17.25" thickBot="1" x14ac:dyDescent="0.35">
      <c r="A509" s="45"/>
      <c r="B509" s="46"/>
      <c r="C509" s="47"/>
      <c r="D509" s="48"/>
      <c r="E509" s="49"/>
      <c r="F509" s="50"/>
    </row>
    <row r="510" spans="1:6" ht="17.25" thickBot="1" x14ac:dyDescent="0.35">
      <c r="A510" s="27"/>
      <c r="B510" s="28"/>
      <c r="C510" s="29"/>
      <c r="D510" s="30" t="s">
        <v>12</v>
      </c>
      <c r="E510" s="31"/>
      <c r="F510" s="32">
        <f>SUM(F509)</f>
        <v>0</v>
      </c>
    </row>
    <row r="511" spans="1:6" x14ac:dyDescent="0.3">
      <c r="A511" s="33" t="s">
        <v>13</v>
      </c>
      <c r="B511" s="34" t="s">
        <v>14</v>
      </c>
      <c r="C511" s="51"/>
      <c r="D511" s="51"/>
      <c r="E511" s="52"/>
      <c r="F511" s="53">
        <f>+F501+F507+F510</f>
        <v>253295</v>
      </c>
    </row>
    <row r="512" spans="1:6" x14ac:dyDescent="0.3">
      <c r="A512" s="9" t="s">
        <v>15</v>
      </c>
      <c r="B512" s="10" t="s">
        <v>49</v>
      </c>
      <c r="C512" s="54"/>
      <c r="D512" s="54"/>
      <c r="E512" s="55"/>
      <c r="F512" s="56">
        <f>F511*15%</f>
        <v>37994.25</v>
      </c>
    </row>
    <row r="513" spans="1:6" ht="17.25" thickBot="1" x14ac:dyDescent="0.35">
      <c r="A513" s="57" t="s">
        <v>16</v>
      </c>
      <c r="B513" s="58" t="s">
        <v>17</v>
      </c>
      <c r="C513" s="59"/>
      <c r="D513" s="59"/>
      <c r="E513" s="60"/>
      <c r="F513" s="61">
        <f>SUM(F511:F512)</f>
        <v>291289.25</v>
      </c>
    </row>
    <row r="515" spans="1:6" ht="17.25" thickBot="1" x14ac:dyDescent="0.35">
      <c r="A515" s="95" t="s">
        <v>661</v>
      </c>
      <c r="B515" s="1" t="s">
        <v>805</v>
      </c>
      <c r="C515" s="2"/>
      <c r="D515" s="2"/>
      <c r="E515" s="2"/>
      <c r="F515" s="2"/>
    </row>
    <row r="516" spans="1:6" ht="26.25" thickBot="1" x14ac:dyDescent="0.35">
      <c r="A516" s="3" t="s">
        <v>2</v>
      </c>
      <c r="B516" s="4" t="s">
        <v>3</v>
      </c>
      <c r="C516" s="4" t="s">
        <v>0</v>
      </c>
      <c r="D516" s="4" t="s">
        <v>4</v>
      </c>
      <c r="E516" s="4" t="s">
        <v>5</v>
      </c>
      <c r="F516" s="5" t="s">
        <v>6</v>
      </c>
    </row>
    <row r="517" spans="1:6" x14ac:dyDescent="0.3">
      <c r="A517" s="6">
        <v>1</v>
      </c>
      <c r="B517" s="7">
        <v>2</v>
      </c>
      <c r="C517" s="7">
        <v>3</v>
      </c>
      <c r="D517" s="7">
        <v>4</v>
      </c>
      <c r="E517" s="7">
        <v>5</v>
      </c>
      <c r="F517" s="8">
        <v>6</v>
      </c>
    </row>
    <row r="518" spans="1:6" x14ac:dyDescent="0.3">
      <c r="A518" s="9" t="s">
        <v>1</v>
      </c>
      <c r="B518" s="10" t="s">
        <v>69</v>
      </c>
      <c r="C518" s="11"/>
      <c r="D518" s="11"/>
      <c r="E518" s="11"/>
      <c r="F518" s="12"/>
    </row>
    <row r="519" spans="1:6" x14ac:dyDescent="0.3">
      <c r="A519" s="13"/>
      <c r="B519" s="14" t="s">
        <v>38</v>
      </c>
      <c r="C519" s="15" t="s">
        <v>7</v>
      </c>
      <c r="D519" s="16">
        <v>0.37</v>
      </c>
      <c r="E519" s="17">
        <f>'HARGA BAHAN'!E4</f>
        <v>125000</v>
      </c>
      <c r="F519" s="18">
        <f>+D519*E519</f>
        <v>46250</v>
      </c>
    </row>
    <row r="520" spans="1:6" x14ac:dyDescent="0.3">
      <c r="A520" s="13"/>
      <c r="B520" s="19" t="s">
        <v>78</v>
      </c>
      <c r="C520" s="20" t="s">
        <v>7</v>
      </c>
      <c r="D520" s="21">
        <v>0.37</v>
      </c>
      <c r="E520" s="17">
        <f>'HARGA BAHAN'!E5</f>
        <v>160000</v>
      </c>
      <c r="F520" s="18">
        <f>+D520*E520</f>
        <v>59200</v>
      </c>
    </row>
    <row r="521" spans="1:6" x14ac:dyDescent="0.3">
      <c r="A521" s="13"/>
      <c r="B521" s="14" t="s">
        <v>79</v>
      </c>
      <c r="C521" s="15" t="s">
        <v>7</v>
      </c>
      <c r="D521" s="16">
        <v>3.6999999999999998E-2</v>
      </c>
      <c r="E521" s="17">
        <f>'HARGA BAHAN'!E6</f>
        <v>180000</v>
      </c>
      <c r="F521" s="18">
        <f>+D521*E521</f>
        <v>6660</v>
      </c>
    </row>
    <row r="522" spans="1:6" ht="17.25" thickBot="1" x14ac:dyDescent="0.35">
      <c r="A522" s="23"/>
      <c r="B522" s="24" t="s">
        <v>40</v>
      </c>
      <c r="C522" s="25" t="s">
        <v>7</v>
      </c>
      <c r="D522" s="26">
        <v>3.6999999999999998E-2</v>
      </c>
      <c r="E522" s="17">
        <f>'HARGA BAHAN'!E7</f>
        <v>175000</v>
      </c>
      <c r="F522" s="18">
        <f>+D522*E522</f>
        <v>6475</v>
      </c>
    </row>
    <row r="523" spans="1:6" ht="17.25" thickBot="1" x14ac:dyDescent="0.35">
      <c r="A523" s="27"/>
      <c r="B523" s="28"/>
      <c r="C523" s="29"/>
      <c r="D523" s="30" t="s">
        <v>8</v>
      </c>
      <c r="E523" s="31"/>
      <c r="F523" s="32">
        <f>SUM(F519:F522)</f>
        <v>118585</v>
      </c>
    </row>
    <row r="524" spans="1:6" x14ac:dyDescent="0.3">
      <c r="A524" s="33" t="s">
        <v>9</v>
      </c>
      <c r="B524" s="34" t="s">
        <v>70</v>
      </c>
      <c r="C524" s="35"/>
      <c r="D524" s="35"/>
      <c r="E524" s="35"/>
      <c r="F524" s="36"/>
    </row>
    <row r="525" spans="1:6" x14ac:dyDescent="0.3">
      <c r="A525" s="37"/>
      <c r="B525" s="38" t="s">
        <v>407</v>
      </c>
      <c r="C525" s="39" t="s">
        <v>135</v>
      </c>
      <c r="D525" s="72">
        <v>5</v>
      </c>
      <c r="E525" s="41">
        <f>'HARGA BAHAN'!E50</f>
        <v>167000</v>
      </c>
      <c r="F525" s="42">
        <f>+D525*E525</f>
        <v>835000</v>
      </c>
    </row>
    <row r="526" spans="1:6" x14ac:dyDescent="0.3">
      <c r="A526" s="67"/>
      <c r="B526" s="19" t="s">
        <v>150</v>
      </c>
      <c r="C526" s="20" t="s">
        <v>137</v>
      </c>
      <c r="D526" s="73">
        <v>3</v>
      </c>
      <c r="E526" s="22">
        <f>'HARGA BAHAN'!E80</f>
        <v>4200</v>
      </c>
      <c r="F526" s="18">
        <f>+D526*E526</f>
        <v>12600</v>
      </c>
    </row>
    <row r="527" spans="1:6" ht="17.25" thickBot="1" x14ac:dyDescent="0.35">
      <c r="A527" s="13"/>
      <c r="B527" s="14" t="s">
        <v>409</v>
      </c>
      <c r="C527" s="15" t="s">
        <v>186</v>
      </c>
      <c r="D527" s="74">
        <v>0.1</v>
      </c>
      <c r="E527" s="17">
        <f>'HARGA BAHAN'!E26</f>
        <v>44700</v>
      </c>
      <c r="F527" s="18">
        <f t="shared" ref="F527" si="13">+D527*E527</f>
        <v>4470</v>
      </c>
    </row>
    <row r="528" spans="1:6" ht="17.25" thickBot="1" x14ac:dyDescent="0.35">
      <c r="A528" s="27"/>
      <c r="B528" s="43"/>
      <c r="C528" s="43"/>
      <c r="D528" s="44" t="s">
        <v>10</v>
      </c>
      <c r="E528" s="43"/>
      <c r="F528" s="32">
        <f>SUM(F525:F527)</f>
        <v>852070</v>
      </c>
    </row>
    <row r="529" spans="1:6" x14ac:dyDescent="0.3">
      <c r="A529" s="33" t="s">
        <v>11</v>
      </c>
      <c r="B529" s="34" t="s">
        <v>71</v>
      </c>
      <c r="C529" s="35"/>
      <c r="D529" s="35"/>
      <c r="E529" s="35"/>
      <c r="F529" s="36"/>
    </row>
    <row r="530" spans="1:6" ht="17.25" thickBot="1" x14ac:dyDescent="0.35">
      <c r="A530" s="45"/>
      <c r="B530" s="46" t="s">
        <v>410</v>
      </c>
      <c r="C530" s="47"/>
      <c r="D530" s="48"/>
      <c r="E530" s="49"/>
      <c r="F530" s="50"/>
    </row>
    <row r="531" spans="1:6" ht="17.25" thickBot="1" x14ac:dyDescent="0.35">
      <c r="A531" s="27"/>
      <c r="B531" s="28"/>
      <c r="C531" s="29"/>
      <c r="D531" s="30" t="s">
        <v>411</v>
      </c>
      <c r="E531" s="31"/>
      <c r="F531" s="32">
        <f>F528*5%</f>
        <v>42603.5</v>
      </c>
    </row>
    <row r="532" spans="1:6" x14ac:dyDescent="0.3">
      <c r="A532" s="33" t="s">
        <v>13</v>
      </c>
      <c r="B532" s="34" t="s">
        <v>14</v>
      </c>
      <c r="C532" s="51"/>
      <c r="D532" s="51"/>
      <c r="E532" s="52"/>
      <c r="F532" s="53">
        <f>+F523+F528+F531</f>
        <v>1013258.5</v>
      </c>
    </row>
    <row r="533" spans="1:6" x14ac:dyDescent="0.3">
      <c r="A533" s="9" t="s">
        <v>15</v>
      </c>
      <c r="B533" s="10" t="s">
        <v>49</v>
      </c>
      <c r="C533" s="54"/>
      <c r="D533" s="54"/>
      <c r="E533" s="55"/>
      <c r="F533" s="56">
        <f>F532*15%</f>
        <v>151988.77499999999</v>
      </c>
    </row>
    <row r="534" spans="1:6" ht="17.25" thickBot="1" x14ac:dyDescent="0.35">
      <c r="A534" s="57" t="s">
        <v>16</v>
      </c>
      <c r="B534" s="58" t="s">
        <v>17</v>
      </c>
      <c r="C534" s="59"/>
      <c r="D534" s="59"/>
      <c r="E534" s="60"/>
      <c r="F534" s="61">
        <f>SUM(F532:F533)</f>
        <v>1165247.2749999999</v>
      </c>
    </row>
    <row r="536" spans="1:6" ht="17.25" thickBot="1" x14ac:dyDescent="0.35">
      <c r="A536" s="70" t="s">
        <v>441</v>
      </c>
      <c r="B536" s="1" t="s">
        <v>442</v>
      </c>
      <c r="C536" s="2"/>
      <c r="D536" s="2"/>
      <c r="E536" s="2"/>
      <c r="F536" s="2"/>
    </row>
    <row r="537" spans="1:6" ht="26.25" thickBot="1" x14ac:dyDescent="0.35">
      <c r="A537" s="3" t="s">
        <v>2</v>
      </c>
      <c r="B537" s="4" t="s">
        <v>3</v>
      </c>
      <c r="C537" s="4" t="s">
        <v>0</v>
      </c>
      <c r="D537" s="4" t="s">
        <v>4</v>
      </c>
      <c r="E537" s="4" t="s">
        <v>5</v>
      </c>
      <c r="F537" s="5" t="s">
        <v>6</v>
      </c>
    </row>
    <row r="538" spans="1:6" x14ac:dyDescent="0.3">
      <c r="A538" s="6">
        <v>1</v>
      </c>
      <c r="B538" s="7">
        <v>2</v>
      </c>
      <c r="C538" s="7">
        <v>3</v>
      </c>
      <c r="D538" s="7">
        <v>4</v>
      </c>
      <c r="E538" s="7">
        <v>5</v>
      </c>
      <c r="F538" s="8">
        <v>6</v>
      </c>
    </row>
    <row r="539" spans="1:6" x14ac:dyDescent="0.3">
      <c r="A539" s="9" t="s">
        <v>1</v>
      </c>
      <c r="B539" s="10" t="s">
        <v>69</v>
      </c>
      <c r="C539" s="11"/>
      <c r="D539" s="11"/>
      <c r="E539" s="11"/>
      <c r="F539" s="12"/>
    </row>
    <row r="540" spans="1:6" x14ac:dyDescent="0.3">
      <c r="A540" s="13"/>
      <c r="B540" s="14" t="s">
        <v>38</v>
      </c>
      <c r="C540" s="15" t="s">
        <v>7</v>
      </c>
      <c r="D540" s="16">
        <v>0.3</v>
      </c>
      <c r="E540" s="17">
        <f>'HARGA BAHAN'!E4</f>
        <v>125000</v>
      </c>
      <c r="F540" s="18">
        <f>+D540*E540</f>
        <v>37500</v>
      </c>
    </row>
    <row r="541" spans="1:6" x14ac:dyDescent="0.3">
      <c r="A541" s="13"/>
      <c r="B541" s="19" t="s">
        <v>279</v>
      </c>
      <c r="C541" s="20" t="s">
        <v>7</v>
      </c>
      <c r="D541" s="21">
        <v>0.15</v>
      </c>
      <c r="E541" s="17">
        <f>'HARGA BAHAN'!E5</f>
        <v>160000</v>
      </c>
      <c r="F541" s="18">
        <f>+D541*E541</f>
        <v>24000</v>
      </c>
    </row>
    <row r="542" spans="1:6" x14ac:dyDescent="0.3">
      <c r="A542" s="13"/>
      <c r="B542" s="14" t="s">
        <v>79</v>
      </c>
      <c r="C542" s="15" t="s">
        <v>7</v>
      </c>
      <c r="D542" s="16">
        <v>1.4999999999999999E-2</v>
      </c>
      <c r="E542" s="17">
        <f>'HARGA BAHAN'!E6</f>
        <v>180000</v>
      </c>
      <c r="F542" s="18">
        <f>+D542*E542</f>
        <v>2700</v>
      </c>
    </row>
    <row r="543" spans="1:6" ht="17.25" thickBot="1" x14ac:dyDescent="0.35">
      <c r="A543" s="23"/>
      <c r="B543" s="24" t="s">
        <v>40</v>
      </c>
      <c r="C543" s="25" t="s">
        <v>7</v>
      </c>
      <c r="D543" s="26">
        <v>1.4999999999999999E-2</v>
      </c>
      <c r="E543" s="17">
        <f>'HARGA BAHAN'!E7</f>
        <v>175000</v>
      </c>
      <c r="F543" s="18">
        <f>+D543*E543</f>
        <v>2625</v>
      </c>
    </row>
    <row r="544" spans="1:6" ht="17.25" thickBot="1" x14ac:dyDescent="0.35">
      <c r="A544" s="27"/>
      <c r="B544" s="28"/>
      <c r="C544" s="29"/>
      <c r="D544" s="30" t="s">
        <v>8</v>
      </c>
      <c r="E544" s="31"/>
      <c r="F544" s="32">
        <f>SUM(F540:F543)</f>
        <v>66825</v>
      </c>
    </row>
    <row r="545" spans="1:6" x14ac:dyDescent="0.3">
      <c r="A545" s="33" t="s">
        <v>9</v>
      </c>
      <c r="B545" s="34" t="s">
        <v>70</v>
      </c>
      <c r="C545" s="35"/>
      <c r="D545" s="35"/>
      <c r="E545" s="35"/>
      <c r="F545" s="36"/>
    </row>
    <row r="546" spans="1:6" x14ac:dyDescent="0.3">
      <c r="A546" s="62"/>
      <c r="B546" s="63" t="s">
        <v>77</v>
      </c>
      <c r="C546" s="64" t="s">
        <v>19</v>
      </c>
      <c r="D546" s="65">
        <v>10</v>
      </c>
      <c r="E546" s="66">
        <f>'HARGA BAHAN'!E13</f>
        <v>2000</v>
      </c>
      <c r="F546" s="18">
        <f>+D546*E546</f>
        <v>20000</v>
      </c>
    </row>
    <row r="547" spans="1:6" ht="17.25" thickBot="1" x14ac:dyDescent="0.35">
      <c r="A547" s="76"/>
      <c r="B547" s="77" t="s">
        <v>97</v>
      </c>
      <c r="C547" s="78" t="s">
        <v>22</v>
      </c>
      <c r="D547" s="79">
        <v>4.4999999999999998E-2</v>
      </c>
      <c r="E547" s="80">
        <f>'HARGA BAHAN'!E15</f>
        <v>210000</v>
      </c>
      <c r="F547" s="18">
        <f>+D547*E547</f>
        <v>9450</v>
      </c>
    </row>
    <row r="548" spans="1:6" ht="17.25" thickBot="1" x14ac:dyDescent="0.35">
      <c r="A548" s="27"/>
      <c r="B548" s="43"/>
      <c r="C548" s="43"/>
      <c r="D548" s="44" t="s">
        <v>10</v>
      </c>
      <c r="E548" s="43"/>
      <c r="F548" s="32">
        <f>SUM(F546:F547)</f>
        <v>29450</v>
      </c>
    </row>
    <row r="549" spans="1:6" x14ac:dyDescent="0.3">
      <c r="A549" s="33" t="s">
        <v>11</v>
      </c>
      <c r="B549" s="34" t="s">
        <v>71</v>
      </c>
      <c r="C549" s="35"/>
      <c r="D549" s="35"/>
      <c r="E549" s="35"/>
      <c r="F549" s="36"/>
    </row>
    <row r="550" spans="1:6" ht="17.25" thickBot="1" x14ac:dyDescent="0.35">
      <c r="A550" s="45"/>
      <c r="B550" s="46"/>
      <c r="C550" s="47"/>
      <c r="D550" s="48"/>
      <c r="E550" s="49"/>
      <c r="F550" s="50"/>
    </row>
    <row r="551" spans="1:6" ht="17.25" thickBot="1" x14ac:dyDescent="0.35">
      <c r="A551" s="27"/>
      <c r="B551" s="28"/>
      <c r="C551" s="29"/>
      <c r="D551" s="30" t="s">
        <v>12</v>
      </c>
      <c r="E551" s="31"/>
      <c r="F551" s="32">
        <f>SUM(F550)</f>
        <v>0</v>
      </c>
    </row>
    <row r="552" spans="1:6" x14ac:dyDescent="0.3">
      <c r="A552" s="33" t="s">
        <v>13</v>
      </c>
      <c r="B552" s="34" t="s">
        <v>14</v>
      </c>
      <c r="C552" s="51"/>
      <c r="D552" s="51"/>
      <c r="E552" s="52"/>
      <c r="F552" s="53">
        <f>+F544+F548+F551</f>
        <v>96275</v>
      </c>
    </row>
    <row r="553" spans="1:6" x14ac:dyDescent="0.3">
      <c r="A553" s="9" t="s">
        <v>15</v>
      </c>
      <c r="B553" s="10" t="s">
        <v>49</v>
      </c>
      <c r="C553" s="54"/>
      <c r="D553" s="54"/>
      <c r="E553" s="55"/>
      <c r="F553" s="56">
        <f>F552*15%</f>
        <v>14441.25</v>
      </c>
    </row>
    <row r="554" spans="1:6" ht="17.25" thickBot="1" x14ac:dyDescent="0.35">
      <c r="A554" s="57" t="s">
        <v>16</v>
      </c>
      <c r="B554" s="58" t="s">
        <v>17</v>
      </c>
      <c r="C554" s="59"/>
      <c r="D554" s="59"/>
      <c r="E554" s="60"/>
      <c r="F554" s="61">
        <f>SUM(F552:F553)</f>
        <v>110716.25</v>
      </c>
    </row>
    <row r="556" spans="1:6" ht="17.25" thickBot="1" x14ac:dyDescent="0.35">
      <c r="A556" s="70" t="s">
        <v>443</v>
      </c>
      <c r="B556" s="1" t="s">
        <v>444</v>
      </c>
      <c r="C556" s="2"/>
      <c r="D556" s="2"/>
      <c r="E556" s="2"/>
      <c r="F556" s="2"/>
    </row>
    <row r="557" spans="1:6" ht="26.25" thickBot="1" x14ac:dyDescent="0.35">
      <c r="A557" s="3" t="s">
        <v>2</v>
      </c>
      <c r="B557" s="4" t="s">
        <v>3</v>
      </c>
      <c r="C557" s="4" t="s">
        <v>0</v>
      </c>
      <c r="D557" s="4" t="s">
        <v>4</v>
      </c>
      <c r="E557" s="4" t="s">
        <v>5</v>
      </c>
      <c r="F557" s="5" t="s">
        <v>6</v>
      </c>
    </row>
    <row r="558" spans="1:6" x14ac:dyDescent="0.3">
      <c r="A558" s="6">
        <v>1</v>
      </c>
      <c r="B558" s="7">
        <v>2</v>
      </c>
      <c r="C558" s="7">
        <v>3</v>
      </c>
      <c r="D558" s="7">
        <v>4</v>
      </c>
      <c r="E558" s="7">
        <v>5</v>
      </c>
      <c r="F558" s="8">
        <v>6</v>
      </c>
    </row>
    <row r="559" spans="1:6" x14ac:dyDescent="0.3">
      <c r="A559" s="9" t="s">
        <v>1</v>
      </c>
      <c r="B559" s="10" t="s">
        <v>69</v>
      </c>
      <c r="C559" s="11"/>
      <c r="D559" s="11"/>
      <c r="E559" s="11"/>
      <c r="F559" s="12"/>
    </row>
    <row r="560" spans="1:6" x14ac:dyDescent="0.3">
      <c r="A560" s="13"/>
      <c r="B560" s="14" t="s">
        <v>38</v>
      </c>
      <c r="C560" s="15" t="s">
        <v>7</v>
      </c>
      <c r="D560" s="16">
        <v>0.2</v>
      </c>
      <c r="E560" s="17">
        <f>'HARGA BAHAN'!E4</f>
        <v>125000</v>
      </c>
      <c r="F560" s="18">
        <f>+D560*E560</f>
        <v>25000</v>
      </c>
    </row>
    <row r="561" spans="1:6" x14ac:dyDescent="0.3">
      <c r="A561" s="13"/>
      <c r="B561" s="19" t="s">
        <v>279</v>
      </c>
      <c r="C561" s="20" t="s">
        <v>7</v>
      </c>
      <c r="D561" s="21">
        <v>0.1</v>
      </c>
      <c r="E561" s="17">
        <f>'HARGA BAHAN'!E5</f>
        <v>160000</v>
      </c>
      <c r="F561" s="18">
        <f>+D561*E561</f>
        <v>16000</v>
      </c>
    </row>
    <row r="562" spans="1:6" x14ac:dyDescent="0.3">
      <c r="A562" s="13"/>
      <c r="B562" s="14" t="s">
        <v>79</v>
      </c>
      <c r="C562" s="15" t="s">
        <v>7</v>
      </c>
      <c r="D562" s="16">
        <v>0.01</v>
      </c>
      <c r="E562" s="17">
        <f>'HARGA BAHAN'!E6</f>
        <v>180000</v>
      </c>
      <c r="F562" s="18">
        <f>+D562*E562</f>
        <v>1800</v>
      </c>
    </row>
    <row r="563" spans="1:6" ht="17.25" thickBot="1" x14ac:dyDescent="0.35">
      <c r="A563" s="23"/>
      <c r="B563" s="24" t="s">
        <v>40</v>
      </c>
      <c r="C563" s="25" t="s">
        <v>7</v>
      </c>
      <c r="D563" s="26">
        <v>0.01</v>
      </c>
      <c r="E563" s="17">
        <f>'HARGA BAHAN'!E7</f>
        <v>175000</v>
      </c>
      <c r="F563" s="18">
        <f>+D563*E563</f>
        <v>1750</v>
      </c>
    </row>
    <row r="564" spans="1:6" ht="17.25" thickBot="1" x14ac:dyDescent="0.35">
      <c r="A564" s="27"/>
      <c r="B564" s="28"/>
      <c r="C564" s="29"/>
      <c r="D564" s="30" t="s">
        <v>8</v>
      </c>
      <c r="E564" s="31"/>
      <c r="F564" s="32">
        <f>SUM(F560:F563)</f>
        <v>44550</v>
      </c>
    </row>
    <row r="565" spans="1:6" x14ac:dyDescent="0.3">
      <c r="A565" s="33" t="s">
        <v>9</v>
      </c>
      <c r="B565" s="34" t="s">
        <v>70</v>
      </c>
      <c r="C565" s="35"/>
      <c r="D565" s="35"/>
      <c r="E565" s="35"/>
      <c r="F565" s="36"/>
    </row>
    <row r="566" spans="1:6" ht="17.25" thickBot="1" x14ac:dyDescent="0.35">
      <c r="A566" s="62"/>
      <c r="B566" s="63" t="s">
        <v>77</v>
      </c>
      <c r="C566" s="64" t="s">
        <v>19</v>
      </c>
      <c r="D566" s="65">
        <v>3.25</v>
      </c>
      <c r="E566" s="66">
        <f>'HARGA BAHAN'!E13</f>
        <v>2000</v>
      </c>
      <c r="F566" s="18">
        <f>+D566*E566</f>
        <v>6500</v>
      </c>
    </row>
    <row r="567" spans="1:6" ht="17.25" thickBot="1" x14ac:dyDescent="0.35">
      <c r="A567" s="27"/>
      <c r="B567" s="43"/>
      <c r="C567" s="43"/>
      <c r="D567" s="44" t="s">
        <v>10</v>
      </c>
      <c r="E567" s="43"/>
      <c r="F567" s="32">
        <f>SUM(F566:F566)</f>
        <v>6500</v>
      </c>
    </row>
    <row r="568" spans="1:6" x14ac:dyDescent="0.3">
      <c r="A568" s="33" t="s">
        <v>11</v>
      </c>
      <c r="B568" s="34" t="s">
        <v>71</v>
      </c>
      <c r="C568" s="35"/>
      <c r="D568" s="35"/>
      <c r="E568" s="35"/>
      <c r="F568" s="36"/>
    </row>
    <row r="569" spans="1:6" ht="17.25" thickBot="1" x14ac:dyDescent="0.35">
      <c r="A569" s="45"/>
      <c r="B569" s="46"/>
      <c r="C569" s="47"/>
      <c r="D569" s="48"/>
      <c r="E569" s="49"/>
      <c r="F569" s="50"/>
    </row>
    <row r="570" spans="1:6" ht="17.25" thickBot="1" x14ac:dyDescent="0.35">
      <c r="A570" s="27"/>
      <c r="B570" s="28"/>
      <c r="C570" s="29"/>
      <c r="D570" s="30" t="s">
        <v>12</v>
      </c>
      <c r="E570" s="31"/>
      <c r="F570" s="32">
        <f>SUM(F569)</f>
        <v>0</v>
      </c>
    </row>
    <row r="571" spans="1:6" x14ac:dyDescent="0.3">
      <c r="A571" s="33" t="s">
        <v>13</v>
      </c>
      <c r="B571" s="34" t="s">
        <v>14</v>
      </c>
      <c r="C571" s="51"/>
      <c r="D571" s="51"/>
      <c r="E571" s="52"/>
      <c r="F571" s="53">
        <f>+F564+F567+F570</f>
        <v>51050</v>
      </c>
    </row>
    <row r="572" spans="1:6" x14ac:dyDescent="0.3">
      <c r="A572" s="9" t="s">
        <v>15</v>
      </c>
      <c r="B572" s="10" t="s">
        <v>49</v>
      </c>
      <c r="C572" s="54"/>
      <c r="D572" s="54"/>
      <c r="E572" s="55"/>
      <c r="F572" s="56">
        <f>F571*15%</f>
        <v>7657.5</v>
      </c>
    </row>
    <row r="573" spans="1:6" ht="17.25" thickBot="1" x14ac:dyDescent="0.35">
      <c r="A573" s="57" t="s">
        <v>16</v>
      </c>
      <c r="B573" s="58" t="s">
        <v>17</v>
      </c>
      <c r="C573" s="59"/>
      <c r="D573" s="59"/>
      <c r="E573" s="60"/>
      <c r="F573" s="61">
        <f>SUM(F571:F572)</f>
        <v>58707.5</v>
      </c>
    </row>
    <row r="575" spans="1:6" ht="17.25" thickBot="1" x14ac:dyDescent="0.35">
      <c r="A575" s="70" t="s">
        <v>154</v>
      </c>
      <c r="B575" s="1" t="s">
        <v>155</v>
      </c>
      <c r="C575" s="2"/>
      <c r="D575" s="2"/>
      <c r="E575" s="2"/>
      <c r="F575" s="2"/>
    </row>
    <row r="576" spans="1:6" ht="26.25" thickBot="1" x14ac:dyDescent="0.35">
      <c r="A576" s="3" t="s">
        <v>2</v>
      </c>
      <c r="B576" s="4" t="s">
        <v>3</v>
      </c>
      <c r="C576" s="4" t="s">
        <v>0</v>
      </c>
      <c r="D576" s="4" t="s">
        <v>4</v>
      </c>
      <c r="E576" s="4" t="s">
        <v>5</v>
      </c>
      <c r="F576" s="5" t="s">
        <v>6</v>
      </c>
    </row>
    <row r="577" spans="1:6" x14ac:dyDescent="0.3">
      <c r="A577" s="6">
        <v>1</v>
      </c>
      <c r="B577" s="7">
        <v>2</v>
      </c>
      <c r="C577" s="7">
        <v>3</v>
      </c>
      <c r="D577" s="7">
        <v>4</v>
      </c>
      <c r="E577" s="7">
        <v>5</v>
      </c>
      <c r="F577" s="8">
        <v>6</v>
      </c>
    </row>
    <row r="578" spans="1:6" x14ac:dyDescent="0.3">
      <c r="A578" s="9" t="s">
        <v>1</v>
      </c>
      <c r="B578" s="10" t="s">
        <v>69</v>
      </c>
      <c r="C578" s="11"/>
      <c r="D578" s="11"/>
      <c r="E578" s="11"/>
      <c r="F578" s="12"/>
    </row>
    <row r="579" spans="1:6" x14ac:dyDescent="0.3">
      <c r="A579" s="13"/>
      <c r="B579" s="14" t="s">
        <v>38</v>
      </c>
      <c r="C579" s="15" t="s">
        <v>7</v>
      </c>
      <c r="D579" s="16">
        <v>0.12</v>
      </c>
      <c r="E579" s="17">
        <f>'HARGA BAHAN'!E4</f>
        <v>125000</v>
      </c>
      <c r="F579" s="18">
        <f>+D579*E579</f>
        <v>15000</v>
      </c>
    </row>
    <row r="580" spans="1:6" x14ac:dyDescent="0.3">
      <c r="A580" s="13"/>
      <c r="B580" s="19" t="s">
        <v>78</v>
      </c>
      <c r="C580" s="20" t="s">
        <v>7</v>
      </c>
      <c r="D580" s="21">
        <v>0.06</v>
      </c>
      <c r="E580" s="17">
        <f>'HARGA BAHAN'!E5</f>
        <v>160000</v>
      </c>
      <c r="F580" s="18">
        <f>+D580*E580</f>
        <v>9600</v>
      </c>
    </row>
    <row r="581" spans="1:6" x14ac:dyDescent="0.3">
      <c r="A581" s="13"/>
      <c r="B581" s="14" t="s">
        <v>79</v>
      </c>
      <c r="C581" s="15" t="s">
        <v>7</v>
      </c>
      <c r="D581" s="16">
        <v>6.0000000000000001E-3</v>
      </c>
      <c r="E581" s="17">
        <f>'HARGA BAHAN'!E6</f>
        <v>180000</v>
      </c>
      <c r="F581" s="18">
        <f>+D581*E581</f>
        <v>1080</v>
      </c>
    </row>
    <row r="582" spans="1:6" ht="17.25" thickBot="1" x14ac:dyDescent="0.35">
      <c r="A582" s="23"/>
      <c r="B582" s="24" t="s">
        <v>40</v>
      </c>
      <c r="C582" s="25" t="s">
        <v>7</v>
      </c>
      <c r="D582" s="26">
        <v>6.0000000000000001E-3</v>
      </c>
      <c r="E582" s="17">
        <f>'HARGA BAHAN'!E7</f>
        <v>175000</v>
      </c>
      <c r="F582" s="18">
        <f>+D582*E582</f>
        <v>1050</v>
      </c>
    </row>
    <row r="583" spans="1:6" ht="17.25" thickBot="1" x14ac:dyDescent="0.35">
      <c r="A583" s="27"/>
      <c r="B583" s="28"/>
      <c r="C583" s="29"/>
      <c r="D583" s="30" t="s">
        <v>8</v>
      </c>
      <c r="E583" s="31"/>
      <c r="F583" s="32">
        <f>SUM(F579:F582)</f>
        <v>26730</v>
      </c>
    </row>
    <row r="584" spans="1:6" x14ac:dyDescent="0.3">
      <c r="A584" s="33" t="s">
        <v>9</v>
      </c>
      <c r="B584" s="34" t="s">
        <v>70</v>
      </c>
      <c r="C584" s="35"/>
      <c r="D584" s="35"/>
      <c r="E584" s="35"/>
      <c r="F584" s="36"/>
    </row>
    <row r="585" spans="1:6" x14ac:dyDescent="0.3">
      <c r="A585" s="37"/>
      <c r="B585" s="38" t="s">
        <v>156</v>
      </c>
      <c r="C585" s="39" t="s">
        <v>158</v>
      </c>
      <c r="D585" s="40">
        <v>1.02</v>
      </c>
      <c r="E585" s="41">
        <f>'HARGA BAHAN'!E60</f>
        <v>55200</v>
      </c>
      <c r="F585" s="18">
        <f>+D585*E585</f>
        <v>56304</v>
      </c>
    </row>
    <row r="586" spans="1:6" ht="17.25" thickBot="1" x14ac:dyDescent="0.35">
      <c r="A586" s="76"/>
      <c r="B586" s="77" t="s">
        <v>157</v>
      </c>
      <c r="C586" s="78" t="s">
        <v>137</v>
      </c>
      <c r="D586" s="79">
        <v>9</v>
      </c>
      <c r="E586" s="80">
        <f>'HARGA BAHAN'!E78</f>
        <v>550</v>
      </c>
      <c r="F586" s="71">
        <f>+D586*E586</f>
        <v>4950</v>
      </c>
    </row>
    <row r="587" spans="1:6" ht="17.25" thickBot="1" x14ac:dyDescent="0.35">
      <c r="A587" s="27"/>
      <c r="B587" s="43"/>
      <c r="C587" s="43"/>
      <c r="D587" s="44" t="s">
        <v>10</v>
      </c>
      <c r="E587" s="43"/>
      <c r="F587" s="32">
        <f>SUM(F585:F586)</f>
        <v>61254</v>
      </c>
    </row>
    <row r="588" spans="1:6" x14ac:dyDescent="0.3">
      <c r="A588" s="33" t="s">
        <v>11</v>
      </c>
      <c r="B588" s="34" t="s">
        <v>71</v>
      </c>
      <c r="C588" s="35"/>
      <c r="D588" s="35"/>
      <c r="E588" s="35"/>
      <c r="F588" s="36"/>
    </row>
    <row r="589" spans="1:6" ht="17.25" thickBot="1" x14ac:dyDescent="0.35">
      <c r="A589" s="45"/>
      <c r="B589" s="46"/>
      <c r="C589" s="47"/>
      <c r="D589" s="48"/>
      <c r="E589" s="49"/>
      <c r="F589" s="50"/>
    </row>
    <row r="590" spans="1:6" ht="17.25" thickBot="1" x14ac:dyDescent="0.35">
      <c r="A590" s="27"/>
      <c r="B590" s="28"/>
      <c r="C590" s="29"/>
      <c r="D590" s="30" t="s">
        <v>12</v>
      </c>
      <c r="E590" s="31"/>
      <c r="F590" s="32">
        <f>SUM(F589)</f>
        <v>0</v>
      </c>
    </row>
    <row r="591" spans="1:6" x14ac:dyDescent="0.3">
      <c r="A591" s="33" t="s">
        <v>13</v>
      </c>
      <c r="B591" s="34" t="s">
        <v>14</v>
      </c>
      <c r="C591" s="51"/>
      <c r="D591" s="51"/>
      <c r="E591" s="52"/>
      <c r="F591" s="53">
        <f>+F583+F587+F590</f>
        <v>87984</v>
      </c>
    </row>
    <row r="592" spans="1:6" x14ac:dyDescent="0.3">
      <c r="A592" s="9" t="s">
        <v>15</v>
      </c>
      <c r="B592" s="10" t="s">
        <v>49</v>
      </c>
      <c r="C592" s="54"/>
      <c r="D592" s="54"/>
      <c r="E592" s="55"/>
      <c r="F592" s="56">
        <f>F591*15%</f>
        <v>13197.6</v>
      </c>
    </row>
    <row r="593" spans="1:10" ht="17.25" thickBot="1" x14ac:dyDescent="0.35">
      <c r="A593" s="57" t="s">
        <v>16</v>
      </c>
      <c r="B593" s="58" t="s">
        <v>17</v>
      </c>
      <c r="C593" s="59"/>
      <c r="D593" s="59"/>
      <c r="E593" s="60"/>
      <c r="F593" s="61">
        <f>SUM(F591:F592)</f>
        <v>101181.6</v>
      </c>
    </row>
    <row r="595" spans="1:10" ht="17.25" thickBot="1" x14ac:dyDescent="0.35">
      <c r="A595" s="70" t="s">
        <v>657</v>
      </c>
      <c r="B595" s="1" t="s">
        <v>658</v>
      </c>
      <c r="C595" s="2"/>
      <c r="D595" s="2"/>
      <c r="E595" s="2"/>
      <c r="F595" s="2"/>
    </row>
    <row r="596" spans="1:10" ht="26.25" thickBot="1" x14ac:dyDescent="0.35">
      <c r="A596" s="3" t="s">
        <v>2</v>
      </c>
      <c r="B596" s="4" t="s">
        <v>3</v>
      </c>
      <c r="C596" s="4" t="s">
        <v>0</v>
      </c>
      <c r="D596" s="4" t="s">
        <v>4</v>
      </c>
      <c r="E596" s="4" t="s">
        <v>5</v>
      </c>
      <c r="F596" s="5" t="s">
        <v>6</v>
      </c>
    </row>
    <row r="597" spans="1:10" x14ac:dyDescent="0.3">
      <c r="A597" s="6">
        <v>1</v>
      </c>
      <c r="B597" s="7">
        <v>2</v>
      </c>
      <c r="C597" s="7">
        <v>3</v>
      </c>
      <c r="D597" s="7">
        <v>4</v>
      </c>
      <c r="E597" s="7">
        <v>5</v>
      </c>
      <c r="F597" s="8">
        <v>6</v>
      </c>
    </row>
    <row r="598" spans="1:10" x14ac:dyDescent="0.3">
      <c r="A598" s="9" t="s">
        <v>1</v>
      </c>
      <c r="B598" s="10" t="s">
        <v>69</v>
      </c>
      <c r="C598" s="11"/>
      <c r="D598" s="11"/>
      <c r="E598" s="11"/>
      <c r="F598" s="12"/>
    </row>
    <row r="599" spans="1:10" x14ac:dyDescent="0.3">
      <c r="A599" s="13"/>
      <c r="B599" s="14" t="s">
        <v>38</v>
      </c>
      <c r="C599" s="15" t="s">
        <v>7</v>
      </c>
      <c r="D599" s="16">
        <v>0.12</v>
      </c>
      <c r="E599" s="17">
        <f>'HARGA BAHAN'!E4</f>
        <v>125000</v>
      </c>
      <c r="F599" s="18">
        <f>+D599*E599</f>
        <v>15000</v>
      </c>
    </row>
    <row r="600" spans="1:10" x14ac:dyDescent="0.3">
      <c r="A600" s="13"/>
      <c r="B600" s="19" t="s">
        <v>78</v>
      </c>
      <c r="C600" s="20" t="s">
        <v>7</v>
      </c>
      <c r="D600" s="21">
        <v>0.06</v>
      </c>
      <c r="E600" s="17">
        <f>'HARGA BAHAN'!E5</f>
        <v>160000</v>
      </c>
      <c r="F600" s="18">
        <f>+D600*E600</f>
        <v>9600</v>
      </c>
    </row>
    <row r="601" spans="1:10" x14ac:dyDescent="0.3">
      <c r="A601" s="13"/>
      <c r="B601" s="14" t="s">
        <v>79</v>
      </c>
      <c r="C601" s="15" t="s">
        <v>7</v>
      </c>
      <c r="D601" s="16">
        <v>6.0000000000000001E-3</v>
      </c>
      <c r="E601" s="17">
        <f>'HARGA BAHAN'!E6</f>
        <v>180000</v>
      </c>
      <c r="F601" s="18">
        <f>+D601*E601</f>
        <v>1080</v>
      </c>
    </row>
    <row r="602" spans="1:10" ht="17.25" thickBot="1" x14ac:dyDescent="0.35">
      <c r="A602" s="23"/>
      <c r="B602" s="24" t="s">
        <v>40</v>
      </c>
      <c r="C602" s="25" t="s">
        <v>7</v>
      </c>
      <c r="D602" s="26">
        <v>6.0000000000000001E-3</v>
      </c>
      <c r="E602" s="17">
        <f>'HARGA BAHAN'!E7</f>
        <v>175000</v>
      </c>
      <c r="F602" s="18">
        <f>+D602*E602</f>
        <v>1050</v>
      </c>
      <c r="J602" s="136">
        <f>2*0.95</f>
        <v>1.9</v>
      </c>
    </row>
    <row r="603" spans="1:10" ht="17.25" thickBot="1" x14ac:dyDescent="0.35">
      <c r="A603" s="27"/>
      <c r="B603" s="28"/>
      <c r="C603" s="29"/>
      <c r="D603" s="30" t="s">
        <v>8</v>
      </c>
      <c r="E603" s="31"/>
      <c r="F603" s="32">
        <f>SUM(F599:F602)</f>
        <v>26730</v>
      </c>
      <c r="J603" s="136">
        <f>J602*0.58</f>
        <v>1.1019999999999999</v>
      </c>
    </row>
    <row r="604" spans="1:10" x14ac:dyDescent="0.3">
      <c r="A604" s="33" t="s">
        <v>9</v>
      </c>
      <c r="B604" s="34" t="s">
        <v>70</v>
      </c>
      <c r="C604" s="35"/>
      <c r="D604" s="35"/>
      <c r="E604" s="35"/>
      <c r="F604" s="36"/>
    </row>
    <row r="605" spans="1:10" x14ac:dyDescent="0.3">
      <c r="A605" s="37"/>
      <c r="B605" s="38" t="s">
        <v>659</v>
      </c>
      <c r="C605" s="39" t="s">
        <v>211</v>
      </c>
      <c r="D605" s="40">
        <v>0.57999999999999996</v>
      </c>
      <c r="E605" s="41">
        <f>'HARGA BAHAN'!E61</f>
        <v>383500</v>
      </c>
      <c r="F605" s="18">
        <f>+D605*E605</f>
        <v>222429.99999999997</v>
      </c>
    </row>
    <row r="606" spans="1:10" ht="17.25" thickBot="1" x14ac:dyDescent="0.35">
      <c r="A606" s="76"/>
      <c r="B606" s="77" t="s">
        <v>157</v>
      </c>
      <c r="C606" s="78" t="s">
        <v>137</v>
      </c>
      <c r="D606" s="79">
        <v>9</v>
      </c>
      <c r="E606" s="80">
        <f>'HARGA BAHAN'!E78</f>
        <v>550</v>
      </c>
      <c r="F606" s="71">
        <f>+D606*E606</f>
        <v>4950</v>
      </c>
    </row>
    <row r="607" spans="1:10" ht="17.25" thickBot="1" x14ac:dyDescent="0.35">
      <c r="A607" s="27"/>
      <c r="B607" s="43"/>
      <c r="C607" s="43"/>
      <c r="D607" s="44" t="s">
        <v>10</v>
      </c>
      <c r="E607" s="43"/>
      <c r="F607" s="32">
        <f>SUM(F605:F606)</f>
        <v>227379.99999999997</v>
      </c>
    </row>
    <row r="608" spans="1:10" x14ac:dyDescent="0.3">
      <c r="A608" s="33" t="s">
        <v>11</v>
      </c>
      <c r="B608" s="34" t="s">
        <v>71</v>
      </c>
      <c r="C608" s="35"/>
      <c r="D608" s="35"/>
      <c r="E608" s="35"/>
      <c r="F608" s="36"/>
    </row>
    <row r="609" spans="1:6" ht="17.25" thickBot="1" x14ac:dyDescent="0.35">
      <c r="A609" s="45"/>
      <c r="B609" s="46"/>
      <c r="C609" s="47"/>
      <c r="D609" s="48"/>
      <c r="E609" s="49"/>
      <c r="F609" s="50"/>
    </row>
    <row r="610" spans="1:6" ht="17.25" thickBot="1" x14ac:dyDescent="0.35">
      <c r="A610" s="27"/>
      <c r="B610" s="28"/>
      <c r="C610" s="29"/>
      <c r="D610" s="30" t="s">
        <v>12</v>
      </c>
      <c r="E610" s="31"/>
      <c r="F610" s="32">
        <f>SUM(F609)</f>
        <v>0</v>
      </c>
    </row>
    <row r="611" spans="1:6" x14ac:dyDescent="0.3">
      <c r="A611" s="33" t="s">
        <v>13</v>
      </c>
      <c r="B611" s="34" t="s">
        <v>14</v>
      </c>
      <c r="C611" s="51"/>
      <c r="D611" s="51"/>
      <c r="E611" s="52"/>
      <c r="F611" s="53">
        <f>+F603+F607+F610</f>
        <v>254109.99999999997</v>
      </c>
    </row>
    <row r="612" spans="1:6" x14ac:dyDescent="0.3">
      <c r="A612" s="9" t="s">
        <v>15</v>
      </c>
      <c r="B612" s="10" t="s">
        <v>49</v>
      </c>
      <c r="C612" s="54"/>
      <c r="D612" s="54"/>
      <c r="E612" s="55"/>
      <c r="F612" s="56">
        <f>F611*15%</f>
        <v>38116.499999999993</v>
      </c>
    </row>
    <row r="613" spans="1:6" ht="17.25" thickBot="1" x14ac:dyDescent="0.35">
      <c r="A613" s="57" t="s">
        <v>16</v>
      </c>
      <c r="B613" s="58" t="s">
        <v>17</v>
      </c>
      <c r="C613" s="59"/>
      <c r="D613" s="59"/>
      <c r="E613" s="60"/>
      <c r="F613" s="61">
        <f>SUM(F611:F612)</f>
        <v>292226.49999999994</v>
      </c>
    </row>
    <row r="615" spans="1:6" ht="17.25" thickBot="1" x14ac:dyDescent="0.35">
      <c r="A615" s="70" t="s">
        <v>638</v>
      </c>
      <c r="B615" s="1" t="s">
        <v>806</v>
      </c>
      <c r="C615" s="2"/>
      <c r="D615" s="2"/>
      <c r="E615" s="2"/>
      <c r="F615" s="2"/>
    </row>
    <row r="616" spans="1:6" ht="26.25" thickBot="1" x14ac:dyDescent="0.35">
      <c r="A616" s="3" t="s">
        <v>2</v>
      </c>
      <c r="B616" s="4" t="s">
        <v>3</v>
      </c>
      <c r="C616" s="4" t="s">
        <v>0</v>
      </c>
      <c r="D616" s="4" t="s">
        <v>4</v>
      </c>
      <c r="E616" s="4" t="s">
        <v>5</v>
      </c>
      <c r="F616" s="5" t="s">
        <v>6</v>
      </c>
    </row>
    <row r="617" spans="1:6" x14ac:dyDescent="0.3">
      <c r="A617" s="6">
        <v>1</v>
      </c>
      <c r="B617" s="7">
        <v>2</v>
      </c>
      <c r="C617" s="7">
        <v>3</v>
      </c>
      <c r="D617" s="7">
        <v>4</v>
      </c>
      <c r="E617" s="7">
        <v>5</v>
      </c>
      <c r="F617" s="8">
        <v>6</v>
      </c>
    </row>
    <row r="618" spans="1:6" x14ac:dyDescent="0.3">
      <c r="A618" s="9" t="s">
        <v>1</v>
      </c>
      <c r="B618" s="10" t="s">
        <v>69</v>
      </c>
      <c r="C618" s="11"/>
      <c r="D618" s="11"/>
      <c r="E618" s="11"/>
      <c r="F618" s="12"/>
    </row>
    <row r="619" spans="1:6" x14ac:dyDescent="0.3">
      <c r="A619" s="13"/>
      <c r="B619" s="14" t="s">
        <v>38</v>
      </c>
      <c r="C619" s="15" t="s">
        <v>7</v>
      </c>
      <c r="D619" s="16">
        <v>0.12</v>
      </c>
      <c r="E619" s="17">
        <f>'HARGA BAHAN'!E4</f>
        <v>125000</v>
      </c>
      <c r="F619" s="18">
        <f>+D619*E619</f>
        <v>15000</v>
      </c>
    </row>
    <row r="620" spans="1:6" x14ac:dyDescent="0.3">
      <c r="A620" s="13"/>
      <c r="B620" s="19" t="s">
        <v>78</v>
      </c>
      <c r="C620" s="20" t="s">
        <v>7</v>
      </c>
      <c r="D620" s="21">
        <v>0.06</v>
      </c>
      <c r="E620" s="17">
        <f>'HARGA BAHAN'!E5</f>
        <v>160000</v>
      </c>
      <c r="F620" s="18">
        <f>+D620*E620</f>
        <v>9600</v>
      </c>
    </row>
    <row r="621" spans="1:6" x14ac:dyDescent="0.3">
      <c r="A621" s="13"/>
      <c r="B621" s="14" t="s">
        <v>79</v>
      </c>
      <c r="C621" s="15" t="s">
        <v>7</v>
      </c>
      <c r="D621" s="16">
        <v>6.0000000000000001E-3</v>
      </c>
      <c r="E621" s="17">
        <f>'HARGA BAHAN'!E6</f>
        <v>180000</v>
      </c>
      <c r="F621" s="18">
        <f>+D621*E621</f>
        <v>1080</v>
      </c>
    </row>
    <row r="622" spans="1:6" ht="17.25" thickBot="1" x14ac:dyDescent="0.35">
      <c r="A622" s="23"/>
      <c r="B622" s="24" t="s">
        <v>40</v>
      </c>
      <c r="C622" s="25" t="s">
        <v>7</v>
      </c>
      <c r="D622" s="26">
        <v>6.0000000000000001E-3</v>
      </c>
      <c r="E622" s="17">
        <f>'HARGA BAHAN'!E7</f>
        <v>175000</v>
      </c>
      <c r="F622" s="18">
        <f>+D622*E622</f>
        <v>1050</v>
      </c>
    </row>
    <row r="623" spans="1:6" ht="17.25" thickBot="1" x14ac:dyDescent="0.35">
      <c r="A623" s="27"/>
      <c r="B623" s="28"/>
      <c r="C623" s="29"/>
      <c r="D623" s="30" t="s">
        <v>8</v>
      </c>
      <c r="E623" s="31"/>
      <c r="F623" s="32">
        <f>SUM(F619:F622)</f>
        <v>26730</v>
      </c>
    </row>
    <row r="624" spans="1:6" x14ac:dyDescent="0.3">
      <c r="A624" s="33" t="s">
        <v>9</v>
      </c>
      <c r="B624" s="34" t="s">
        <v>70</v>
      </c>
      <c r="C624" s="35"/>
      <c r="D624" s="35"/>
      <c r="E624" s="35"/>
      <c r="F624" s="36"/>
    </row>
    <row r="625" spans="1:6" ht="17.25" thickBot="1" x14ac:dyDescent="0.35">
      <c r="A625" s="37"/>
      <c r="B625" s="38" t="s">
        <v>610</v>
      </c>
      <c r="C625" s="39" t="s">
        <v>158</v>
      </c>
      <c r="D625" s="40">
        <v>1.05</v>
      </c>
      <c r="E625" s="41">
        <f>'HARGA BAHAN'!E68</f>
        <v>12166.666666666666</v>
      </c>
      <c r="F625" s="18">
        <f>+D625*E625</f>
        <v>12775</v>
      </c>
    </row>
    <row r="626" spans="1:6" ht="17.25" thickBot="1" x14ac:dyDescent="0.35">
      <c r="A626" s="27"/>
      <c r="B626" s="43"/>
      <c r="C626" s="43"/>
      <c r="D626" s="44" t="s">
        <v>10</v>
      </c>
      <c r="E626" s="43"/>
      <c r="F626" s="32">
        <f>SUM(F625:F625)</f>
        <v>12775</v>
      </c>
    </row>
    <row r="627" spans="1:6" x14ac:dyDescent="0.3">
      <c r="A627" s="33" t="s">
        <v>11</v>
      </c>
      <c r="B627" s="34" t="s">
        <v>71</v>
      </c>
      <c r="C627" s="35"/>
      <c r="D627" s="35"/>
      <c r="E627" s="35"/>
      <c r="F627" s="36"/>
    </row>
    <row r="628" spans="1:6" ht="17.25" thickBot="1" x14ac:dyDescent="0.35">
      <c r="A628" s="45"/>
      <c r="B628" s="46"/>
      <c r="C628" s="47"/>
      <c r="D628" s="48"/>
      <c r="E628" s="49"/>
      <c r="F628" s="50"/>
    </row>
    <row r="629" spans="1:6" ht="17.25" thickBot="1" x14ac:dyDescent="0.35">
      <c r="A629" s="27"/>
      <c r="B629" s="28"/>
      <c r="C629" s="29"/>
      <c r="D629" s="30" t="s">
        <v>12</v>
      </c>
      <c r="E629" s="31"/>
      <c r="F629" s="32">
        <f>SUM(F628)</f>
        <v>0</v>
      </c>
    </row>
    <row r="630" spans="1:6" x14ac:dyDescent="0.3">
      <c r="A630" s="33" t="s">
        <v>13</v>
      </c>
      <c r="B630" s="34" t="s">
        <v>14</v>
      </c>
      <c r="C630" s="51"/>
      <c r="D630" s="51"/>
      <c r="E630" s="52"/>
      <c r="F630" s="53">
        <f>+F623+F626+F629</f>
        <v>39505</v>
      </c>
    </row>
    <row r="631" spans="1:6" x14ac:dyDescent="0.3">
      <c r="A631" s="9" t="s">
        <v>15</v>
      </c>
      <c r="B631" s="10" t="s">
        <v>49</v>
      </c>
      <c r="C631" s="54"/>
      <c r="D631" s="54"/>
      <c r="E631" s="55"/>
      <c r="F631" s="56">
        <f>F630*15%</f>
        <v>5925.75</v>
      </c>
    </row>
    <row r="632" spans="1:6" ht="17.25" thickBot="1" x14ac:dyDescent="0.35">
      <c r="A632" s="57" t="s">
        <v>16</v>
      </c>
      <c r="B632" s="58" t="s">
        <v>17</v>
      </c>
      <c r="C632" s="59"/>
      <c r="D632" s="59"/>
      <c r="E632" s="60"/>
      <c r="F632" s="61">
        <f>SUM(F630:F631)</f>
        <v>45430.75</v>
      </c>
    </row>
    <row r="634" spans="1:6" ht="17.25" thickBot="1" x14ac:dyDescent="0.35">
      <c r="A634" s="70" t="s">
        <v>649</v>
      </c>
      <c r="B634" s="1" t="s">
        <v>647</v>
      </c>
      <c r="C634" s="2"/>
      <c r="D634" s="2"/>
      <c r="E634" s="2"/>
      <c r="F634" s="2"/>
    </row>
    <row r="635" spans="1:6" ht="26.25" thickBot="1" x14ac:dyDescent="0.35">
      <c r="A635" s="3" t="s">
        <v>2</v>
      </c>
      <c r="B635" s="4" t="s">
        <v>3</v>
      </c>
      <c r="C635" s="4" t="s">
        <v>0</v>
      </c>
      <c r="D635" s="4" t="s">
        <v>4</v>
      </c>
      <c r="E635" s="4" t="s">
        <v>5</v>
      </c>
      <c r="F635" s="5" t="s">
        <v>6</v>
      </c>
    </row>
    <row r="636" spans="1:6" x14ac:dyDescent="0.3">
      <c r="A636" s="6">
        <v>1</v>
      </c>
      <c r="B636" s="7">
        <v>2</v>
      </c>
      <c r="C636" s="7">
        <v>3</v>
      </c>
      <c r="D636" s="7">
        <v>4</v>
      </c>
      <c r="E636" s="7">
        <v>5</v>
      </c>
      <c r="F636" s="8">
        <v>6</v>
      </c>
    </row>
    <row r="637" spans="1:6" x14ac:dyDescent="0.3">
      <c r="A637" s="9" t="s">
        <v>1</v>
      </c>
      <c r="B637" s="10" t="s">
        <v>69</v>
      </c>
      <c r="C637" s="11"/>
      <c r="D637" s="11"/>
      <c r="E637" s="11"/>
      <c r="F637" s="12"/>
    </row>
    <row r="638" spans="1:6" x14ac:dyDescent="0.3">
      <c r="A638" s="13"/>
      <c r="B638" s="14" t="s">
        <v>38</v>
      </c>
      <c r="C638" s="15" t="s">
        <v>7</v>
      </c>
      <c r="D638" s="16">
        <v>0.08</v>
      </c>
      <c r="E638" s="17">
        <f>'HARGA BAHAN'!E4</f>
        <v>125000</v>
      </c>
      <c r="F638" s="18">
        <f>+D638*E638</f>
        <v>10000</v>
      </c>
    </row>
    <row r="639" spans="1:6" x14ac:dyDescent="0.3">
      <c r="A639" s="13"/>
      <c r="B639" s="19" t="s">
        <v>78</v>
      </c>
      <c r="C639" s="20" t="s">
        <v>7</v>
      </c>
      <c r="D639" s="21">
        <v>0.04</v>
      </c>
      <c r="E639" s="17">
        <f>'HARGA BAHAN'!E5</f>
        <v>160000</v>
      </c>
      <c r="F639" s="18">
        <f>+D639*E639</f>
        <v>6400</v>
      </c>
    </row>
    <row r="640" spans="1:6" x14ac:dyDescent="0.3">
      <c r="A640" s="13"/>
      <c r="B640" s="14" t="s">
        <v>79</v>
      </c>
      <c r="C640" s="15" t="s">
        <v>7</v>
      </c>
      <c r="D640" s="16">
        <v>4.0000000000000001E-3</v>
      </c>
      <c r="E640" s="17">
        <f>'HARGA BAHAN'!E6</f>
        <v>180000</v>
      </c>
      <c r="F640" s="18">
        <f>+D640*E640</f>
        <v>720</v>
      </c>
    </row>
    <row r="641" spans="1:6" ht="17.25" thickBot="1" x14ac:dyDescent="0.35">
      <c r="A641" s="23"/>
      <c r="B641" s="24" t="s">
        <v>40</v>
      </c>
      <c r="C641" s="25" t="s">
        <v>7</v>
      </c>
      <c r="D641" s="26">
        <v>4.0000000000000001E-3</v>
      </c>
      <c r="E641" s="17">
        <f>'HARGA BAHAN'!E7</f>
        <v>175000</v>
      </c>
      <c r="F641" s="18">
        <f>+D641*E641</f>
        <v>700</v>
      </c>
    </row>
    <row r="642" spans="1:6" ht="17.25" thickBot="1" x14ac:dyDescent="0.35">
      <c r="A642" s="27"/>
      <c r="B642" s="28"/>
      <c r="C642" s="29"/>
      <c r="D642" s="30" t="s">
        <v>8</v>
      </c>
      <c r="E642" s="31"/>
      <c r="F642" s="32">
        <f>SUM(F638:F641)</f>
        <v>17820</v>
      </c>
    </row>
    <row r="643" spans="1:6" x14ac:dyDescent="0.3">
      <c r="A643" s="33" t="s">
        <v>9</v>
      </c>
      <c r="B643" s="34" t="s">
        <v>70</v>
      </c>
      <c r="C643" s="35"/>
      <c r="D643" s="35"/>
      <c r="E643" s="35"/>
      <c r="F643" s="36"/>
    </row>
    <row r="644" spans="1:6" ht="17.25" thickBot="1" x14ac:dyDescent="0.35">
      <c r="A644" s="37"/>
      <c r="B644" s="38" t="s">
        <v>648</v>
      </c>
      <c r="C644" s="39" t="s">
        <v>158</v>
      </c>
      <c r="D644" s="40">
        <v>1.05</v>
      </c>
      <c r="E644" s="41">
        <f>'HARGA BAHAN'!E65</f>
        <v>19850</v>
      </c>
      <c r="F644" s="18">
        <f>+D644*E644</f>
        <v>20842.5</v>
      </c>
    </row>
    <row r="645" spans="1:6" ht="17.25" thickBot="1" x14ac:dyDescent="0.35">
      <c r="A645" s="27"/>
      <c r="B645" s="43"/>
      <c r="C645" s="43"/>
      <c r="D645" s="44" t="s">
        <v>10</v>
      </c>
      <c r="E645" s="43"/>
      <c r="F645" s="32">
        <f>SUM(F644:F644)</f>
        <v>20842.5</v>
      </c>
    </row>
    <row r="646" spans="1:6" x14ac:dyDescent="0.3">
      <c r="A646" s="33" t="s">
        <v>11</v>
      </c>
      <c r="B646" s="34" t="s">
        <v>71</v>
      </c>
      <c r="C646" s="35"/>
      <c r="D646" s="35"/>
      <c r="E646" s="35"/>
      <c r="F646" s="36"/>
    </row>
    <row r="647" spans="1:6" ht="17.25" thickBot="1" x14ac:dyDescent="0.35">
      <c r="A647" s="45"/>
      <c r="B647" s="46"/>
      <c r="C647" s="47"/>
      <c r="D647" s="48"/>
      <c r="E647" s="49"/>
      <c r="F647" s="50"/>
    </row>
    <row r="648" spans="1:6" ht="17.25" thickBot="1" x14ac:dyDescent="0.35">
      <c r="A648" s="27"/>
      <c r="B648" s="28"/>
      <c r="C648" s="29"/>
      <c r="D648" s="30" t="s">
        <v>12</v>
      </c>
      <c r="E648" s="31"/>
      <c r="F648" s="32">
        <f>SUM(F647)</f>
        <v>0</v>
      </c>
    </row>
    <row r="649" spans="1:6" x14ac:dyDescent="0.3">
      <c r="A649" s="33" t="s">
        <v>13</v>
      </c>
      <c r="B649" s="34" t="s">
        <v>14</v>
      </c>
      <c r="C649" s="51"/>
      <c r="D649" s="51"/>
      <c r="E649" s="52"/>
      <c r="F649" s="53">
        <f>+F642+F645+F648</f>
        <v>38662.5</v>
      </c>
    </row>
    <row r="650" spans="1:6" x14ac:dyDescent="0.3">
      <c r="A650" s="9" t="s">
        <v>15</v>
      </c>
      <c r="B650" s="10" t="s">
        <v>49</v>
      </c>
      <c r="C650" s="54"/>
      <c r="D650" s="54"/>
      <c r="E650" s="55"/>
      <c r="F650" s="56">
        <f>F649*15%</f>
        <v>5799.375</v>
      </c>
    </row>
    <row r="651" spans="1:6" ht="17.25" thickBot="1" x14ac:dyDescent="0.35">
      <c r="A651" s="57" t="s">
        <v>16</v>
      </c>
      <c r="B651" s="58" t="s">
        <v>17</v>
      </c>
      <c r="C651" s="59"/>
      <c r="D651" s="59"/>
      <c r="E651" s="60"/>
      <c r="F651" s="61">
        <f>SUM(F649:F650)</f>
        <v>44461.875</v>
      </c>
    </row>
    <row r="653" spans="1:6" ht="17.25" thickBot="1" x14ac:dyDescent="0.35">
      <c r="A653" s="70" t="s">
        <v>269</v>
      </c>
      <c r="B653" s="1" t="s">
        <v>270</v>
      </c>
      <c r="C653" s="2"/>
      <c r="D653" s="2"/>
      <c r="E653" s="2"/>
      <c r="F653" s="2"/>
    </row>
    <row r="654" spans="1:6" ht="26.25" thickBot="1" x14ac:dyDescent="0.35">
      <c r="A654" s="3" t="s">
        <v>2</v>
      </c>
      <c r="B654" s="4" t="s">
        <v>3</v>
      </c>
      <c r="C654" s="4" t="s">
        <v>0</v>
      </c>
      <c r="D654" s="4" t="s">
        <v>4</v>
      </c>
      <c r="E654" s="4" t="s">
        <v>5</v>
      </c>
      <c r="F654" s="5" t="s">
        <v>6</v>
      </c>
    </row>
    <row r="655" spans="1:6" x14ac:dyDescent="0.3">
      <c r="A655" s="6">
        <v>1</v>
      </c>
      <c r="B655" s="7">
        <v>2</v>
      </c>
      <c r="C655" s="7">
        <v>3</v>
      </c>
      <c r="D655" s="7">
        <v>4</v>
      </c>
      <c r="E655" s="7">
        <v>5</v>
      </c>
      <c r="F655" s="8">
        <v>6</v>
      </c>
    </row>
    <row r="656" spans="1:6" x14ac:dyDescent="0.3">
      <c r="A656" s="9" t="s">
        <v>1</v>
      </c>
      <c r="B656" s="10" t="s">
        <v>128</v>
      </c>
      <c r="C656" s="11"/>
      <c r="D656" s="11"/>
      <c r="E656" s="11"/>
      <c r="F656" s="12"/>
    </row>
    <row r="657" spans="1:6" x14ac:dyDescent="0.3">
      <c r="A657" s="13"/>
      <c r="B657" s="14" t="s">
        <v>129</v>
      </c>
      <c r="C657" s="15" t="s">
        <v>7</v>
      </c>
      <c r="D657" s="16">
        <v>0.1</v>
      </c>
      <c r="E657" s="17">
        <f>'HARGA BAHAN'!E4</f>
        <v>125000</v>
      </c>
      <c r="F657" s="18">
        <f t="shared" ref="F657" si="14">+D657*E657</f>
        <v>12500</v>
      </c>
    </row>
    <row r="658" spans="1:6" x14ac:dyDescent="0.3">
      <c r="A658" s="13"/>
      <c r="B658" s="19" t="s">
        <v>271</v>
      </c>
      <c r="C658" s="20" t="s">
        <v>7</v>
      </c>
      <c r="D658" s="21">
        <v>0.05</v>
      </c>
      <c r="E658" s="17">
        <f>'HARGA BAHAN'!E5</f>
        <v>160000</v>
      </c>
      <c r="F658" s="98">
        <f>+D658*E658</f>
        <v>8000</v>
      </c>
    </row>
    <row r="659" spans="1:6" x14ac:dyDescent="0.3">
      <c r="A659" s="13"/>
      <c r="B659" s="14" t="s">
        <v>131</v>
      </c>
      <c r="C659" s="15" t="s">
        <v>7</v>
      </c>
      <c r="D659" s="16">
        <v>5.0000000000000001E-3</v>
      </c>
      <c r="E659" s="17">
        <f>'HARGA BAHAN'!E6</f>
        <v>180000</v>
      </c>
      <c r="F659" s="18">
        <f t="shared" ref="F659:F660" si="15">+D659*E659</f>
        <v>900</v>
      </c>
    </row>
    <row r="660" spans="1:6" ht="17.25" thickBot="1" x14ac:dyDescent="0.35">
      <c r="A660" s="23"/>
      <c r="B660" s="24" t="s">
        <v>132</v>
      </c>
      <c r="C660" s="25" t="s">
        <v>7</v>
      </c>
      <c r="D660" s="26">
        <v>5.0000000000000001E-3</v>
      </c>
      <c r="E660" s="17">
        <f>'HARGA BAHAN'!E7</f>
        <v>175000</v>
      </c>
      <c r="F660" s="96">
        <f t="shared" si="15"/>
        <v>875</v>
      </c>
    </row>
    <row r="661" spans="1:6" ht="17.25" thickBot="1" x14ac:dyDescent="0.35">
      <c r="A661" s="27"/>
      <c r="B661" s="28"/>
      <c r="C661" s="29"/>
      <c r="D661" s="30" t="s">
        <v>8</v>
      </c>
      <c r="E661" s="31"/>
      <c r="F661" s="32">
        <f>SUM(F657:F660)</f>
        <v>22275</v>
      </c>
    </row>
    <row r="662" spans="1:6" x14ac:dyDescent="0.3">
      <c r="A662" s="33" t="s">
        <v>9</v>
      </c>
      <c r="B662" s="34" t="s">
        <v>133</v>
      </c>
      <c r="C662" s="35"/>
      <c r="D662" s="35"/>
      <c r="E662" s="35"/>
      <c r="F662" s="36"/>
    </row>
    <row r="663" spans="1:6" x14ac:dyDescent="0.3">
      <c r="A663" s="37"/>
      <c r="B663" s="38" t="s">
        <v>272</v>
      </c>
      <c r="C663" s="39" t="s">
        <v>158</v>
      </c>
      <c r="D663" s="40">
        <v>0.36399999999999999</v>
      </c>
      <c r="E663" s="41">
        <f>'HARGA BAHAN'!E113</f>
        <v>102800</v>
      </c>
      <c r="F663" s="42">
        <f t="shared" ref="F663" si="16">+D663*E663</f>
        <v>37419.199999999997</v>
      </c>
    </row>
    <row r="664" spans="1:6" ht="17.25" thickBot="1" x14ac:dyDescent="0.35">
      <c r="A664" s="13"/>
      <c r="B664" s="14" t="s">
        <v>20</v>
      </c>
      <c r="C664" s="15" t="s">
        <v>186</v>
      </c>
      <c r="D664" s="16">
        <v>0.11</v>
      </c>
      <c r="E664" s="17">
        <f>'HARGA BAHAN'!E111</f>
        <v>32000</v>
      </c>
      <c r="F664" s="18">
        <f>+D664*E664</f>
        <v>3520</v>
      </c>
    </row>
    <row r="665" spans="1:6" ht="17.25" thickBot="1" x14ac:dyDescent="0.35">
      <c r="A665" s="27"/>
      <c r="B665" s="43"/>
      <c r="C665" s="43"/>
      <c r="D665" s="44" t="s">
        <v>10</v>
      </c>
      <c r="E665" s="43"/>
      <c r="F665" s="32">
        <f>SUM(F663:F664)</f>
        <v>40939.199999999997</v>
      </c>
    </row>
    <row r="666" spans="1:6" x14ac:dyDescent="0.3">
      <c r="A666" s="33" t="s">
        <v>11</v>
      </c>
      <c r="B666" s="34" t="s">
        <v>138</v>
      </c>
      <c r="C666" s="35"/>
      <c r="D666" s="35"/>
      <c r="E666" s="35"/>
      <c r="F666" s="36"/>
    </row>
    <row r="667" spans="1:6" ht="17.25" thickBot="1" x14ac:dyDescent="0.35">
      <c r="A667" s="45"/>
      <c r="B667" s="46"/>
      <c r="C667" s="47"/>
      <c r="D667" s="48"/>
      <c r="E667" s="49"/>
      <c r="F667" s="50"/>
    </row>
    <row r="668" spans="1:6" ht="17.25" thickBot="1" x14ac:dyDescent="0.35">
      <c r="A668" s="27"/>
      <c r="B668" s="28"/>
      <c r="C668" s="29"/>
      <c r="D668" s="30" t="s">
        <v>12</v>
      </c>
      <c r="E668" s="31"/>
      <c r="F668" s="32">
        <f>SUM(F667)</f>
        <v>0</v>
      </c>
    </row>
    <row r="669" spans="1:6" x14ac:dyDescent="0.3">
      <c r="A669" s="33" t="s">
        <v>13</v>
      </c>
      <c r="B669" s="34" t="s">
        <v>14</v>
      </c>
      <c r="C669" s="51"/>
      <c r="D669" s="51"/>
      <c r="E669" s="52"/>
      <c r="F669" s="53">
        <f>+F661+F665+F668</f>
        <v>63214.2</v>
      </c>
    </row>
    <row r="670" spans="1:6" x14ac:dyDescent="0.3">
      <c r="A670" s="9" t="s">
        <v>15</v>
      </c>
      <c r="B670" s="10" t="s">
        <v>49</v>
      </c>
      <c r="C670" s="54"/>
      <c r="D670" s="54"/>
      <c r="E670" s="55"/>
      <c r="F670" s="56">
        <f>F669*15%</f>
        <v>9482.1299999999992</v>
      </c>
    </row>
    <row r="671" spans="1:6" ht="17.25" thickBot="1" x14ac:dyDescent="0.35">
      <c r="A671" s="57" t="s">
        <v>16</v>
      </c>
      <c r="B671" s="58" t="s">
        <v>17</v>
      </c>
      <c r="C671" s="59"/>
      <c r="D671" s="59"/>
      <c r="E671" s="60"/>
      <c r="F671" s="61">
        <f>SUM(F669:F670)</f>
        <v>72696.33</v>
      </c>
    </row>
    <row r="673" spans="1:6" ht="17.25" thickBot="1" x14ac:dyDescent="0.35">
      <c r="A673" s="70" t="s">
        <v>162</v>
      </c>
      <c r="B673" s="1" t="s">
        <v>163</v>
      </c>
      <c r="C673" s="2"/>
      <c r="D673" s="2"/>
      <c r="E673" s="2"/>
      <c r="F673" s="2"/>
    </row>
    <row r="674" spans="1:6" ht="26.25" thickBot="1" x14ac:dyDescent="0.35">
      <c r="A674" s="3" t="s">
        <v>2</v>
      </c>
      <c r="B674" s="4" t="s">
        <v>3</v>
      </c>
      <c r="C674" s="4" t="s">
        <v>0</v>
      </c>
      <c r="D674" s="4" t="s">
        <v>4</v>
      </c>
      <c r="E674" s="4" t="s">
        <v>5</v>
      </c>
      <c r="F674" s="5" t="s">
        <v>6</v>
      </c>
    </row>
    <row r="675" spans="1:6" x14ac:dyDescent="0.3">
      <c r="A675" s="6">
        <v>1</v>
      </c>
      <c r="B675" s="7">
        <v>2</v>
      </c>
      <c r="C675" s="7">
        <v>3</v>
      </c>
      <c r="D675" s="7">
        <v>4</v>
      </c>
      <c r="E675" s="7">
        <v>5</v>
      </c>
      <c r="F675" s="8">
        <v>6</v>
      </c>
    </row>
    <row r="676" spans="1:6" x14ac:dyDescent="0.3">
      <c r="A676" s="9" t="s">
        <v>1</v>
      </c>
      <c r="B676" s="10" t="s">
        <v>69</v>
      </c>
      <c r="C676" s="11"/>
      <c r="D676" s="11"/>
      <c r="E676" s="11"/>
      <c r="F676" s="12"/>
    </row>
    <row r="677" spans="1:6" x14ac:dyDescent="0.3">
      <c r="A677" s="13"/>
      <c r="B677" s="14" t="s">
        <v>38</v>
      </c>
      <c r="C677" s="15" t="s">
        <v>7</v>
      </c>
      <c r="D677" s="16">
        <v>0.15</v>
      </c>
      <c r="E677" s="17">
        <f>'HARGA BAHAN'!E4</f>
        <v>125000</v>
      </c>
      <c r="F677" s="18">
        <f>+D677*E677</f>
        <v>18750</v>
      </c>
    </row>
    <row r="678" spans="1:6" x14ac:dyDescent="0.3">
      <c r="A678" s="13"/>
      <c r="B678" s="19" t="s">
        <v>78</v>
      </c>
      <c r="C678" s="20" t="s">
        <v>7</v>
      </c>
      <c r="D678" s="21">
        <v>0.25</v>
      </c>
      <c r="E678" s="17">
        <f>'HARGA BAHAN'!E5</f>
        <v>160000</v>
      </c>
      <c r="F678" s="18">
        <f>+D678*E678</f>
        <v>40000</v>
      </c>
    </row>
    <row r="679" spans="1:6" x14ac:dyDescent="0.3">
      <c r="A679" s="13"/>
      <c r="B679" s="14" t="s">
        <v>79</v>
      </c>
      <c r="C679" s="15" t="s">
        <v>7</v>
      </c>
      <c r="D679" s="16">
        <v>2.5000000000000001E-2</v>
      </c>
      <c r="E679" s="17">
        <f>'HARGA BAHAN'!E6</f>
        <v>180000</v>
      </c>
      <c r="F679" s="18">
        <f>+D679*E679</f>
        <v>4500</v>
      </c>
    </row>
    <row r="680" spans="1:6" ht="17.25" thickBot="1" x14ac:dyDescent="0.35">
      <c r="A680" s="23"/>
      <c r="B680" s="24" t="s">
        <v>40</v>
      </c>
      <c r="C680" s="25" t="s">
        <v>7</v>
      </c>
      <c r="D680" s="26">
        <v>7.4999999999999997E-2</v>
      </c>
      <c r="E680" s="17">
        <f>'HARGA BAHAN'!E7</f>
        <v>175000</v>
      </c>
      <c r="F680" s="18">
        <f>+D680*E680</f>
        <v>13125</v>
      </c>
    </row>
    <row r="681" spans="1:6" ht="17.25" thickBot="1" x14ac:dyDescent="0.35">
      <c r="A681" s="27"/>
      <c r="B681" s="28"/>
      <c r="C681" s="29"/>
      <c r="D681" s="30" t="s">
        <v>8</v>
      </c>
      <c r="E681" s="31"/>
      <c r="F681" s="32">
        <f>SUM(F677:F680)</f>
        <v>76375</v>
      </c>
    </row>
    <row r="682" spans="1:6" x14ac:dyDescent="0.3">
      <c r="A682" s="33" t="s">
        <v>9</v>
      </c>
      <c r="B682" s="34" t="s">
        <v>70</v>
      </c>
      <c r="C682" s="35"/>
      <c r="D682" s="35"/>
      <c r="E682" s="35"/>
      <c r="F682" s="36"/>
    </row>
    <row r="683" spans="1:6" x14ac:dyDescent="0.3">
      <c r="A683" s="37"/>
      <c r="B683" s="38" t="s">
        <v>111</v>
      </c>
      <c r="C683" s="39" t="s">
        <v>158</v>
      </c>
      <c r="D683" s="40">
        <v>1</v>
      </c>
      <c r="E683" s="41">
        <f>'HARGA BAHAN'!E74</f>
        <v>179914.34999999998</v>
      </c>
      <c r="F683" s="18">
        <f>+D683*E683</f>
        <v>179914.34999999998</v>
      </c>
    </row>
    <row r="684" spans="1:6" ht="17.25" thickBot="1" x14ac:dyDescent="0.35">
      <c r="A684" s="62"/>
      <c r="B684" s="63" t="s">
        <v>164</v>
      </c>
      <c r="C684" s="64" t="s">
        <v>165</v>
      </c>
      <c r="D684" s="65">
        <v>18</v>
      </c>
      <c r="E684" s="66">
        <f>'HARGA BAHAN'!E78</f>
        <v>550</v>
      </c>
      <c r="F684" s="18">
        <f>+D684*E684</f>
        <v>9900</v>
      </c>
    </row>
    <row r="685" spans="1:6" ht="17.25" thickBot="1" x14ac:dyDescent="0.35">
      <c r="A685" s="27"/>
      <c r="B685" s="43"/>
      <c r="C685" s="43"/>
      <c r="D685" s="44" t="s">
        <v>10</v>
      </c>
      <c r="E685" s="43"/>
      <c r="F685" s="32">
        <f>SUM(F683:F684)</f>
        <v>189814.34999999998</v>
      </c>
    </row>
    <row r="686" spans="1:6" x14ac:dyDescent="0.3">
      <c r="A686" s="33" t="s">
        <v>11</v>
      </c>
      <c r="B686" s="34" t="s">
        <v>71</v>
      </c>
      <c r="C686" s="35"/>
      <c r="D686" s="35"/>
      <c r="E686" s="35"/>
      <c r="F686" s="36"/>
    </row>
    <row r="687" spans="1:6" ht="17.25" thickBot="1" x14ac:dyDescent="0.35">
      <c r="A687" s="45"/>
      <c r="B687" s="46"/>
      <c r="C687" s="47"/>
      <c r="D687" s="48"/>
      <c r="E687" s="49"/>
      <c r="F687" s="50"/>
    </row>
    <row r="688" spans="1:6" ht="17.25" thickBot="1" x14ac:dyDescent="0.35">
      <c r="A688" s="27"/>
      <c r="B688" s="28"/>
      <c r="C688" s="29"/>
      <c r="D688" s="30" t="s">
        <v>12</v>
      </c>
      <c r="E688" s="31"/>
      <c r="F688" s="32">
        <f>SUM(F687)</f>
        <v>0</v>
      </c>
    </row>
    <row r="689" spans="1:6" x14ac:dyDescent="0.3">
      <c r="A689" s="33" t="s">
        <v>13</v>
      </c>
      <c r="B689" s="34" t="s">
        <v>14</v>
      </c>
      <c r="C689" s="51"/>
      <c r="D689" s="51"/>
      <c r="E689" s="52"/>
      <c r="F689" s="53">
        <f>+F681+F685+F688</f>
        <v>266189.34999999998</v>
      </c>
    </row>
    <row r="690" spans="1:6" x14ac:dyDescent="0.3">
      <c r="A690" s="9" t="s">
        <v>15</v>
      </c>
      <c r="B690" s="10" t="s">
        <v>49</v>
      </c>
      <c r="C690" s="54"/>
      <c r="D690" s="54"/>
      <c r="E690" s="55"/>
      <c r="F690" s="56">
        <f>F689*15%</f>
        <v>39928.402499999997</v>
      </c>
    </row>
    <row r="691" spans="1:6" ht="17.25" thickBot="1" x14ac:dyDescent="0.35">
      <c r="A691" s="57" t="s">
        <v>16</v>
      </c>
      <c r="B691" s="58" t="s">
        <v>17</v>
      </c>
      <c r="C691" s="59"/>
      <c r="D691" s="59"/>
      <c r="E691" s="60"/>
      <c r="F691" s="61">
        <f>SUM(F689:F690)</f>
        <v>306117.75249999994</v>
      </c>
    </row>
    <row r="693" spans="1:6" ht="17.25" thickBot="1" x14ac:dyDescent="0.35">
      <c r="A693" s="70" t="s">
        <v>169</v>
      </c>
      <c r="B693" s="1" t="s">
        <v>170</v>
      </c>
      <c r="C693" s="2"/>
      <c r="D693" s="2"/>
      <c r="E693" s="2"/>
      <c r="F693" s="2"/>
    </row>
    <row r="694" spans="1:6" ht="26.25" thickBot="1" x14ac:dyDescent="0.35">
      <c r="A694" s="3" t="s">
        <v>2</v>
      </c>
      <c r="B694" s="4" t="s">
        <v>3</v>
      </c>
      <c r="C694" s="4" t="s">
        <v>0</v>
      </c>
      <c r="D694" s="4" t="s">
        <v>4</v>
      </c>
      <c r="E694" s="4" t="s">
        <v>5</v>
      </c>
      <c r="F694" s="5" t="s">
        <v>6</v>
      </c>
    </row>
    <row r="695" spans="1:6" x14ac:dyDescent="0.3">
      <c r="A695" s="6">
        <v>1</v>
      </c>
      <c r="B695" s="7">
        <v>2</v>
      </c>
      <c r="C695" s="7">
        <v>3</v>
      </c>
      <c r="D695" s="7">
        <v>4</v>
      </c>
      <c r="E695" s="7">
        <v>5</v>
      </c>
      <c r="F695" s="8">
        <v>6</v>
      </c>
    </row>
    <row r="696" spans="1:6" x14ac:dyDescent="0.3">
      <c r="A696" s="9" t="s">
        <v>1</v>
      </c>
      <c r="B696" s="10" t="s">
        <v>69</v>
      </c>
      <c r="C696" s="11"/>
      <c r="D696" s="11"/>
      <c r="E696" s="11"/>
      <c r="F696" s="12"/>
    </row>
    <row r="697" spans="1:6" x14ac:dyDescent="0.3">
      <c r="A697" s="13"/>
      <c r="B697" s="14" t="s">
        <v>38</v>
      </c>
      <c r="C697" s="15" t="s">
        <v>7</v>
      </c>
      <c r="D697" s="16">
        <v>0.1</v>
      </c>
      <c r="E697" s="17">
        <f>'HARGA BAHAN'!E4</f>
        <v>125000</v>
      </c>
      <c r="F697" s="18">
        <f>+D697*E697</f>
        <v>12500</v>
      </c>
    </row>
    <row r="698" spans="1:6" x14ac:dyDescent="0.3">
      <c r="A698" s="13"/>
      <c r="B698" s="19" t="s">
        <v>78</v>
      </c>
      <c r="C698" s="20" t="s">
        <v>7</v>
      </c>
      <c r="D698" s="21">
        <v>0.05</v>
      </c>
      <c r="E698" s="17">
        <f>'HARGA BAHAN'!E5</f>
        <v>160000</v>
      </c>
      <c r="F698" s="18">
        <f>+D698*E698</f>
        <v>8000</v>
      </c>
    </row>
    <row r="699" spans="1:6" x14ac:dyDescent="0.3">
      <c r="A699" s="13"/>
      <c r="B699" s="14" t="s">
        <v>79</v>
      </c>
      <c r="C699" s="15" t="s">
        <v>7</v>
      </c>
      <c r="D699" s="16">
        <v>5.0000000000000001E-3</v>
      </c>
      <c r="E699" s="17">
        <f>'HARGA BAHAN'!E6</f>
        <v>180000</v>
      </c>
      <c r="F699" s="18">
        <f>+D699*E699</f>
        <v>900</v>
      </c>
    </row>
    <row r="700" spans="1:6" ht="17.25" thickBot="1" x14ac:dyDescent="0.35">
      <c r="A700" s="23"/>
      <c r="B700" s="24" t="s">
        <v>40</v>
      </c>
      <c r="C700" s="25" t="s">
        <v>7</v>
      </c>
      <c r="D700" s="26">
        <v>5.0000000000000001E-3</v>
      </c>
      <c r="E700" s="17">
        <f>'HARGA BAHAN'!E7</f>
        <v>175000</v>
      </c>
      <c r="F700" s="18">
        <f>+D700*E700</f>
        <v>875</v>
      </c>
    </row>
    <row r="701" spans="1:6" ht="17.25" thickBot="1" x14ac:dyDescent="0.35">
      <c r="A701" s="27"/>
      <c r="B701" s="28"/>
      <c r="C701" s="29"/>
      <c r="D701" s="30" t="s">
        <v>8</v>
      </c>
      <c r="E701" s="31"/>
      <c r="F701" s="32">
        <f>SUM(F697:F700)</f>
        <v>22275</v>
      </c>
    </row>
    <row r="702" spans="1:6" x14ac:dyDescent="0.3">
      <c r="A702" s="33" t="s">
        <v>9</v>
      </c>
      <c r="B702" s="34" t="s">
        <v>70</v>
      </c>
      <c r="C702" s="35"/>
      <c r="D702" s="35"/>
      <c r="E702" s="35"/>
      <c r="F702" s="36"/>
    </row>
    <row r="703" spans="1:6" x14ac:dyDescent="0.3">
      <c r="A703" s="37"/>
      <c r="B703" s="38" t="s">
        <v>171</v>
      </c>
      <c r="C703" s="39" t="s">
        <v>135</v>
      </c>
      <c r="D703" s="40">
        <v>1</v>
      </c>
      <c r="E703" s="41">
        <f>'HARGA BAHAN'!E75</f>
        <v>50367</v>
      </c>
      <c r="F703" s="18">
        <f>+D703*E703</f>
        <v>50367</v>
      </c>
    </row>
    <row r="704" spans="1:6" ht="17.25" thickBot="1" x14ac:dyDescent="0.35">
      <c r="A704" s="62"/>
      <c r="B704" s="63" t="s">
        <v>172</v>
      </c>
      <c r="C704" s="64" t="s">
        <v>165</v>
      </c>
      <c r="D704" s="65">
        <v>18</v>
      </c>
      <c r="E704" s="66">
        <f>'HARGA BAHAN'!E78</f>
        <v>550</v>
      </c>
      <c r="F704" s="18">
        <f>+D704*E704</f>
        <v>9900</v>
      </c>
    </row>
    <row r="705" spans="1:6" ht="17.25" thickBot="1" x14ac:dyDescent="0.35">
      <c r="A705" s="27"/>
      <c r="B705" s="43"/>
      <c r="C705" s="43"/>
      <c r="D705" s="44" t="s">
        <v>10</v>
      </c>
      <c r="E705" s="43"/>
      <c r="F705" s="32">
        <f>SUM(F703:F704)</f>
        <v>60267</v>
      </c>
    </row>
    <row r="706" spans="1:6" x14ac:dyDescent="0.3">
      <c r="A706" s="33" t="s">
        <v>11</v>
      </c>
      <c r="B706" s="34" t="s">
        <v>71</v>
      </c>
      <c r="C706" s="35"/>
      <c r="D706" s="35"/>
      <c r="E706" s="35"/>
      <c r="F706" s="36"/>
    </row>
    <row r="707" spans="1:6" ht="17.25" thickBot="1" x14ac:dyDescent="0.35">
      <c r="A707" s="45"/>
      <c r="B707" s="46"/>
      <c r="C707" s="47"/>
      <c r="D707" s="48"/>
      <c r="E707" s="49"/>
      <c r="F707" s="50"/>
    </row>
    <row r="708" spans="1:6" ht="17.25" thickBot="1" x14ac:dyDescent="0.35">
      <c r="A708" s="27"/>
      <c r="B708" s="28"/>
      <c r="C708" s="29"/>
      <c r="D708" s="30" t="s">
        <v>12</v>
      </c>
      <c r="E708" s="31"/>
      <c r="F708" s="32">
        <f>SUM(F707)</f>
        <v>0</v>
      </c>
    </row>
    <row r="709" spans="1:6" x14ac:dyDescent="0.3">
      <c r="A709" s="33" t="s">
        <v>13</v>
      </c>
      <c r="B709" s="34" t="s">
        <v>14</v>
      </c>
      <c r="C709" s="51"/>
      <c r="D709" s="51"/>
      <c r="E709" s="52"/>
      <c r="F709" s="53">
        <f>+F701+F705+F708</f>
        <v>82542</v>
      </c>
    </row>
    <row r="710" spans="1:6" x14ac:dyDescent="0.3">
      <c r="A710" s="9" t="s">
        <v>15</v>
      </c>
      <c r="B710" s="10" t="s">
        <v>49</v>
      </c>
      <c r="C710" s="54"/>
      <c r="D710" s="54"/>
      <c r="E710" s="55"/>
      <c r="F710" s="56">
        <f>F709*15%</f>
        <v>12381.3</v>
      </c>
    </row>
    <row r="711" spans="1:6" ht="17.25" thickBot="1" x14ac:dyDescent="0.35">
      <c r="A711" s="57" t="s">
        <v>16</v>
      </c>
      <c r="B711" s="58" t="s">
        <v>17</v>
      </c>
      <c r="C711" s="59"/>
      <c r="D711" s="59"/>
      <c r="E711" s="60"/>
      <c r="F711" s="61">
        <f>SUM(F709:F710)</f>
        <v>94923.3</v>
      </c>
    </row>
    <row r="713" spans="1:6" ht="17.25" thickBot="1" x14ac:dyDescent="0.35">
      <c r="A713" s="70" t="s">
        <v>642</v>
      </c>
      <c r="B713" s="1" t="s">
        <v>643</v>
      </c>
      <c r="C713" s="2"/>
      <c r="D713" s="2"/>
      <c r="E713" s="2"/>
      <c r="F713" s="2"/>
    </row>
    <row r="714" spans="1:6" ht="26.25" thickBot="1" x14ac:dyDescent="0.35">
      <c r="A714" s="3" t="s">
        <v>2</v>
      </c>
      <c r="B714" s="4" t="s">
        <v>3</v>
      </c>
      <c r="C714" s="4" t="s">
        <v>0</v>
      </c>
      <c r="D714" s="4" t="s">
        <v>4</v>
      </c>
      <c r="E714" s="4" t="s">
        <v>5</v>
      </c>
      <c r="F714" s="5" t="s">
        <v>6</v>
      </c>
    </row>
    <row r="715" spans="1:6" x14ac:dyDescent="0.3">
      <c r="A715" s="6">
        <v>1</v>
      </c>
      <c r="B715" s="7">
        <v>2</v>
      </c>
      <c r="C715" s="7">
        <v>3</v>
      </c>
      <c r="D715" s="7">
        <v>4</v>
      </c>
      <c r="E715" s="7">
        <v>5</v>
      </c>
      <c r="F715" s="8">
        <v>6</v>
      </c>
    </row>
    <row r="716" spans="1:6" x14ac:dyDescent="0.3">
      <c r="A716" s="9" t="s">
        <v>1</v>
      </c>
      <c r="B716" s="10" t="s">
        <v>69</v>
      </c>
      <c r="C716" s="11"/>
      <c r="D716" s="11"/>
      <c r="E716" s="11"/>
      <c r="F716" s="12"/>
    </row>
    <row r="717" spans="1:6" x14ac:dyDescent="0.3">
      <c r="A717" s="13"/>
      <c r="B717" s="14" t="s">
        <v>38</v>
      </c>
      <c r="C717" s="15" t="s">
        <v>7</v>
      </c>
      <c r="D717" s="16">
        <v>0.1</v>
      </c>
      <c r="E717" s="17">
        <f>'HARGA BAHAN'!E4</f>
        <v>125000</v>
      </c>
      <c r="F717" s="18">
        <f>+D717*E717</f>
        <v>12500</v>
      </c>
    </row>
    <row r="718" spans="1:6" x14ac:dyDescent="0.3">
      <c r="A718" s="13"/>
      <c r="B718" s="19" t="s">
        <v>78</v>
      </c>
      <c r="C718" s="20" t="s">
        <v>7</v>
      </c>
      <c r="D718" s="21">
        <v>0.05</v>
      </c>
      <c r="E718" s="17">
        <f>'HARGA BAHAN'!E5</f>
        <v>160000</v>
      </c>
      <c r="F718" s="18">
        <f>+D718*E718</f>
        <v>8000</v>
      </c>
    </row>
    <row r="719" spans="1:6" x14ac:dyDescent="0.3">
      <c r="A719" s="13"/>
      <c r="B719" s="14" t="s">
        <v>79</v>
      </c>
      <c r="C719" s="15" t="s">
        <v>7</v>
      </c>
      <c r="D719" s="16">
        <v>5.0000000000000001E-3</v>
      </c>
      <c r="E719" s="17">
        <f>'HARGA BAHAN'!E6</f>
        <v>180000</v>
      </c>
      <c r="F719" s="18">
        <f>+D719*E719</f>
        <v>900</v>
      </c>
    </row>
    <row r="720" spans="1:6" ht="17.25" thickBot="1" x14ac:dyDescent="0.35">
      <c r="A720" s="23"/>
      <c r="B720" s="24" t="s">
        <v>40</v>
      </c>
      <c r="C720" s="25" t="s">
        <v>7</v>
      </c>
      <c r="D720" s="26">
        <v>5.0000000000000001E-3</v>
      </c>
      <c r="E720" s="17">
        <f>'HARGA BAHAN'!E7</f>
        <v>175000</v>
      </c>
      <c r="F720" s="18">
        <f>+D720*E720</f>
        <v>875</v>
      </c>
    </row>
    <row r="721" spans="1:6" ht="17.25" thickBot="1" x14ac:dyDescent="0.35">
      <c r="A721" s="27"/>
      <c r="B721" s="28"/>
      <c r="C721" s="29"/>
      <c r="D721" s="30" t="s">
        <v>8</v>
      </c>
      <c r="E721" s="31"/>
      <c r="F721" s="32">
        <f>SUM(F717:F720)</f>
        <v>22275</v>
      </c>
    </row>
    <row r="722" spans="1:6" x14ac:dyDescent="0.3">
      <c r="A722" s="33" t="s">
        <v>9</v>
      </c>
      <c r="B722" s="34" t="s">
        <v>70</v>
      </c>
      <c r="C722" s="35"/>
      <c r="D722" s="35"/>
      <c r="E722" s="35"/>
      <c r="F722" s="36"/>
    </row>
    <row r="723" spans="1:6" x14ac:dyDescent="0.3">
      <c r="A723" s="37"/>
      <c r="B723" s="38" t="s">
        <v>644</v>
      </c>
      <c r="C723" s="39" t="s">
        <v>135</v>
      </c>
      <c r="D723" s="40">
        <v>1</v>
      </c>
      <c r="E723" s="41">
        <f>'HARGA BAHAN'!E58</f>
        <v>25000</v>
      </c>
      <c r="F723" s="18">
        <f>+D723*E723</f>
        <v>25000</v>
      </c>
    </row>
    <row r="724" spans="1:6" ht="17.25" thickBot="1" x14ac:dyDescent="0.35">
      <c r="A724" s="62"/>
      <c r="B724" s="63" t="s">
        <v>172</v>
      </c>
      <c r="C724" s="64" t="s">
        <v>165</v>
      </c>
      <c r="D724" s="65">
        <v>18</v>
      </c>
      <c r="E724" s="66">
        <f>'HARGA BAHAN'!E78</f>
        <v>550</v>
      </c>
      <c r="F724" s="18">
        <f>+D724*E724</f>
        <v>9900</v>
      </c>
    </row>
    <row r="725" spans="1:6" ht="17.25" thickBot="1" x14ac:dyDescent="0.35">
      <c r="A725" s="27"/>
      <c r="B725" s="43"/>
      <c r="C725" s="43"/>
      <c r="D725" s="44" t="s">
        <v>10</v>
      </c>
      <c r="E725" s="43"/>
      <c r="F725" s="32">
        <f>SUM(F723:F724)</f>
        <v>34900</v>
      </c>
    </row>
    <row r="726" spans="1:6" x14ac:dyDescent="0.3">
      <c r="A726" s="33" t="s">
        <v>11</v>
      </c>
      <c r="B726" s="34" t="s">
        <v>71</v>
      </c>
      <c r="C726" s="35"/>
      <c r="D726" s="35"/>
      <c r="E726" s="35"/>
      <c r="F726" s="36"/>
    </row>
    <row r="727" spans="1:6" ht="17.25" thickBot="1" x14ac:dyDescent="0.35">
      <c r="A727" s="45"/>
      <c r="B727" s="46"/>
      <c r="C727" s="47"/>
      <c r="D727" s="48"/>
      <c r="E727" s="49"/>
      <c r="F727" s="50"/>
    </row>
    <row r="728" spans="1:6" ht="17.25" thickBot="1" x14ac:dyDescent="0.35">
      <c r="A728" s="27"/>
      <c r="B728" s="28"/>
      <c r="C728" s="29"/>
      <c r="D728" s="30" t="s">
        <v>12</v>
      </c>
      <c r="E728" s="31"/>
      <c r="F728" s="32">
        <f>SUM(F727)</f>
        <v>0</v>
      </c>
    </row>
    <row r="729" spans="1:6" x14ac:dyDescent="0.3">
      <c r="A729" s="33" t="s">
        <v>13</v>
      </c>
      <c r="B729" s="34" t="s">
        <v>14</v>
      </c>
      <c r="C729" s="51"/>
      <c r="D729" s="51"/>
      <c r="E729" s="52"/>
      <c r="F729" s="53">
        <f>+F721+F725+F728</f>
        <v>57175</v>
      </c>
    </row>
    <row r="730" spans="1:6" x14ac:dyDescent="0.3">
      <c r="A730" s="9" t="s">
        <v>15</v>
      </c>
      <c r="B730" s="10" t="s">
        <v>49</v>
      </c>
      <c r="C730" s="54"/>
      <c r="D730" s="54"/>
      <c r="E730" s="55"/>
      <c r="F730" s="56">
        <f>F729*15%</f>
        <v>8576.25</v>
      </c>
    </row>
    <row r="731" spans="1:6" ht="17.25" thickBot="1" x14ac:dyDescent="0.35">
      <c r="A731" s="57" t="s">
        <v>16</v>
      </c>
      <c r="B731" s="58" t="s">
        <v>17</v>
      </c>
      <c r="C731" s="59"/>
      <c r="D731" s="59"/>
      <c r="E731" s="60"/>
      <c r="F731" s="61">
        <f>SUM(F729:F730)</f>
        <v>65751.25</v>
      </c>
    </row>
    <row r="733" spans="1:6" ht="17.25" thickBot="1" x14ac:dyDescent="0.35">
      <c r="A733" s="70" t="s">
        <v>113</v>
      </c>
      <c r="B733" s="1" t="s">
        <v>807</v>
      </c>
      <c r="C733" s="2"/>
      <c r="D733" s="2"/>
      <c r="E733" s="2"/>
      <c r="F733" s="2"/>
    </row>
    <row r="734" spans="1:6" ht="26.25" thickBot="1" x14ac:dyDescent="0.35">
      <c r="A734" s="3" t="s">
        <v>2</v>
      </c>
      <c r="B734" s="4" t="s">
        <v>3</v>
      </c>
      <c r="C734" s="4" t="s">
        <v>0</v>
      </c>
      <c r="D734" s="4" t="s">
        <v>4</v>
      </c>
      <c r="E734" s="4" t="s">
        <v>5</v>
      </c>
      <c r="F734" s="5" t="s">
        <v>6</v>
      </c>
    </row>
    <row r="735" spans="1:6" x14ac:dyDescent="0.3">
      <c r="A735" s="6">
        <v>1</v>
      </c>
      <c r="B735" s="7">
        <v>2</v>
      </c>
      <c r="C735" s="7">
        <v>3</v>
      </c>
      <c r="D735" s="7">
        <v>4</v>
      </c>
      <c r="E735" s="7">
        <v>5</v>
      </c>
      <c r="F735" s="8">
        <v>6</v>
      </c>
    </row>
    <row r="736" spans="1:6" x14ac:dyDescent="0.3">
      <c r="A736" s="9" t="s">
        <v>1</v>
      </c>
      <c r="B736" s="10" t="s">
        <v>69</v>
      </c>
      <c r="C736" s="11"/>
      <c r="D736" s="11"/>
      <c r="E736" s="11"/>
      <c r="F736" s="12"/>
    </row>
    <row r="737" spans="1:6" x14ac:dyDescent="0.3">
      <c r="A737" s="13"/>
      <c r="B737" s="14" t="s">
        <v>38</v>
      </c>
      <c r="C737" s="15" t="s">
        <v>7</v>
      </c>
      <c r="D737" s="16">
        <v>0.26</v>
      </c>
      <c r="E737" s="17">
        <f>'HARGA BAHAN'!E4</f>
        <v>125000</v>
      </c>
      <c r="F737" s="18">
        <f>+D737*E737</f>
        <v>32500</v>
      </c>
    </row>
    <row r="738" spans="1:6" x14ac:dyDescent="0.3">
      <c r="A738" s="13"/>
      <c r="B738" s="19" t="s">
        <v>78</v>
      </c>
      <c r="C738" s="20" t="s">
        <v>7</v>
      </c>
      <c r="D738" s="21">
        <v>0.13</v>
      </c>
      <c r="E738" s="17">
        <f>'HARGA BAHAN'!E5</f>
        <v>160000</v>
      </c>
      <c r="F738" s="18">
        <f>+D738*E738</f>
        <v>20800</v>
      </c>
    </row>
    <row r="739" spans="1:6" x14ac:dyDescent="0.3">
      <c r="A739" s="13"/>
      <c r="B739" s="14" t="s">
        <v>79</v>
      </c>
      <c r="C739" s="15" t="s">
        <v>7</v>
      </c>
      <c r="D739" s="16">
        <v>1.2999999999999999E-2</v>
      </c>
      <c r="E739" s="17">
        <f>'HARGA BAHAN'!E6</f>
        <v>180000</v>
      </c>
      <c r="F739" s="18">
        <f>+D739*E739</f>
        <v>2340</v>
      </c>
    </row>
    <row r="740" spans="1:6" ht="17.25" thickBot="1" x14ac:dyDescent="0.35">
      <c r="A740" s="23"/>
      <c r="B740" s="24" t="s">
        <v>40</v>
      </c>
      <c r="C740" s="25" t="s">
        <v>7</v>
      </c>
      <c r="D740" s="26">
        <v>1.2999999999999999E-2</v>
      </c>
      <c r="E740" s="17">
        <f>'HARGA BAHAN'!E7</f>
        <v>175000</v>
      </c>
      <c r="F740" s="18">
        <f>+D740*E740</f>
        <v>2275</v>
      </c>
    </row>
    <row r="741" spans="1:6" ht="17.25" thickBot="1" x14ac:dyDescent="0.35">
      <c r="A741" s="27"/>
      <c r="B741" s="28"/>
      <c r="C741" s="29"/>
      <c r="D741" s="30" t="s">
        <v>8</v>
      </c>
      <c r="E741" s="31"/>
      <c r="F741" s="32">
        <f>SUM(F737:F740)</f>
        <v>57915</v>
      </c>
    </row>
    <row r="742" spans="1:6" x14ac:dyDescent="0.3">
      <c r="A742" s="33" t="s">
        <v>9</v>
      </c>
      <c r="B742" s="34" t="s">
        <v>70</v>
      </c>
      <c r="C742" s="35"/>
      <c r="D742" s="35"/>
      <c r="E742" s="35"/>
      <c r="F742" s="36"/>
    </row>
    <row r="743" spans="1:6" x14ac:dyDescent="0.3">
      <c r="A743" s="37"/>
      <c r="B743" s="38" t="s">
        <v>114</v>
      </c>
      <c r="C743" s="39" t="s">
        <v>43</v>
      </c>
      <c r="D743" s="40">
        <v>11.87</v>
      </c>
      <c r="E743" s="41">
        <f>'HARGA BAHAN'!E83</f>
        <v>14550</v>
      </c>
      <c r="F743" s="18">
        <f>+D743*E743</f>
        <v>172708.5</v>
      </c>
    </row>
    <row r="744" spans="1:6" x14ac:dyDescent="0.3">
      <c r="A744" s="62"/>
      <c r="B744" s="63" t="s">
        <v>77</v>
      </c>
      <c r="C744" s="64" t="s">
        <v>19</v>
      </c>
      <c r="D744" s="65">
        <v>10</v>
      </c>
      <c r="E744" s="66">
        <f>'HARGA BAHAN'!E13</f>
        <v>2000</v>
      </c>
      <c r="F744" s="18">
        <f>+D744*E744</f>
        <v>20000</v>
      </c>
    </row>
    <row r="745" spans="1:6" x14ac:dyDescent="0.3">
      <c r="A745" s="62"/>
      <c r="B745" s="63" t="s">
        <v>107</v>
      </c>
      <c r="C745" s="64" t="s">
        <v>19</v>
      </c>
      <c r="D745" s="65">
        <v>1.5</v>
      </c>
      <c r="E745" s="66">
        <f>'HARGA BAHAN'!E44</f>
        <v>6438.0000000000009</v>
      </c>
      <c r="F745" s="18">
        <f>+D745*E745</f>
        <v>9657.0000000000018</v>
      </c>
    </row>
    <row r="746" spans="1:6" ht="17.25" thickBot="1" x14ac:dyDescent="0.35">
      <c r="A746" s="76"/>
      <c r="B746" s="77" t="s">
        <v>97</v>
      </c>
      <c r="C746" s="78" t="s">
        <v>22</v>
      </c>
      <c r="D746" s="79">
        <v>4.4999999999999998E-2</v>
      </c>
      <c r="E746" s="80">
        <f>'HARGA BAHAN'!E15</f>
        <v>210000</v>
      </c>
      <c r="F746" s="18">
        <f>+D746*E746</f>
        <v>9450</v>
      </c>
    </row>
    <row r="747" spans="1:6" ht="17.25" thickBot="1" x14ac:dyDescent="0.35">
      <c r="A747" s="27"/>
      <c r="B747" s="43"/>
      <c r="C747" s="43"/>
      <c r="D747" s="44" t="s">
        <v>10</v>
      </c>
      <c r="E747" s="43"/>
      <c r="F747" s="32">
        <f>SUM(F743:F746)</f>
        <v>211815.5</v>
      </c>
    </row>
    <row r="748" spans="1:6" x14ac:dyDescent="0.3">
      <c r="A748" s="33" t="s">
        <v>11</v>
      </c>
      <c r="B748" s="34" t="s">
        <v>71</v>
      </c>
      <c r="C748" s="35"/>
      <c r="D748" s="35"/>
      <c r="E748" s="35"/>
      <c r="F748" s="36"/>
    </row>
    <row r="749" spans="1:6" ht="17.25" thickBot="1" x14ac:dyDescent="0.35">
      <c r="A749" s="45"/>
      <c r="B749" s="46"/>
      <c r="C749" s="47"/>
      <c r="D749" s="48"/>
      <c r="E749" s="49"/>
      <c r="F749" s="50"/>
    </row>
    <row r="750" spans="1:6" ht="17.25" thickBot="1" x14ac:dyDescent="0.35">
      <c r="A750" s="27"/>
      <c r="B750" s="28"/>
      <c r="C750" s="29"/>
      <c r="D750" s="30" t="s">
        <v>12</v>
      </c>
      <c r="E750" s="31"/>
      <c r="F750" s="32">
        <f>SUM(F749)</f>
        <v>0</v>
      </c>
    </row>
    <row r="751" spans="1:6" x14ac:dyDescent="0.3">
      <c r="A751" s="33" t="s">
        <v>13</v>
      </c>
      <c r="B751" s="34" t="s">
        <v>14</v>
      </c>
      <c r="C751" s="51"/>
      <c r="D751" s="51"/>
      <c r="E751" s="52"/>
      <c r="F751" s="53">
        <f>+F741+F747+F750</f>
        <v>269730.5</v>
      </c>
    </row>
    <row r="752" spans="1:6" x14ac:dyDescent="0.3">
      <c r="A752" s="9" t="s">
        <v>15</v>
      </c>
      <c r="B752" s="10" t="s">
        <v>49</v>
      </c>
      <c r="C752" s="54"/>
      <c r="D752" s="54"/>
      <c r="E752" s="55"/>
      <c r="F752" s="56">
        <f>F751*15%</f>
        <v>40459.574999999997</v>
      </c>
    </row>
    <row r="753" spans="1:6" ht="17.25" thickBot="1" x14ac:dyDescent="0.35">
      <c r="A753" s="57" t="s">
        <v>16</v>
      </c>
      <c r="B753" s="58" t="s">
        <v>17</v>
      </c>
      <c r="C753" s="59"/>
      <c r="D753" s="59"/>
      <c r="E753" s="60"/>
      <c r="F753" s="61">
        <f>SUM(F751:F752)</f>
        <v>310190.07500000001</v>
      </c>
    </row>
    <row r="754" spans="1:6" x14ac:dyDescent="0.3">
      <c r="A754" s="99"/>
      <c r="B754" s="1"/>
      <c r="C754" s="1"/>
      <c r="D754" s="1"/>
      <c r="E754" s="1"/>
      <c r="F754" s="286"/>
    </row>
    <row r="755" spans="1:6" ht="17.25" thickBot="1" x14ac:dyDescent="0.35">
      <c r="A755" s="70" t="s">
        <v>188</v>
      </c>
      <c r="B755" s="1" t="s">
        <v>808</v>
      </c>
      <c r="C755" s="2"/>
      <c r="D755" s="2"/>
      <c r="E755" s="2"/>
      <c r="F755" s="2"/>
    </row>
    <row r="756" spans="1:6" ht="26.25" thickBot="1" x14ac:dyDescent="0.35">
      <c r="A756" s="3" t="s">
        <v>2</v>
      </c>
      <c r="B756" s="4" t="s">
        <v>3</v>
      </c>
      <c r="C756" s="4" t="s">
        <v>0</v>
      </c>
      <c r="D756" s="4" t="s">
        <v>4</v>
      </c>
      <c r="E756" s="4" t="s">
        <v>5</v>
      </c>
      <c r="F756" s="5" t="s">
        <v>6</v>
      </c>
    </row>
    <row r="757" spans="1:6" x14ac:dyDescent="0.3">
      <c r="A757" s="6">
        <v>1</v>
      </c>
      <c r="B757" s="7">
        <v>2</v>
      </c>
      <c r="C757" s="7">
        <v>3</v>
      </c>
      <c r="D757" s="7">
        <v>4</v>
      </c>
      <c r="E757" s="7">
        <v>5</v>
      </c>
      <c r="F757" s="8">
        <v>6</v>
      </c>
    </row>
    <row r="758" spans="1:6" x14ac:dyDescent="0.3">
      <c r="A758" s="9" t="s">
        <v>1</v>
      </c>
      <c r="B758" s="10" t="s">
        <v>69</v>
      </c>
      <c r="C758" s="11"/>
      <c r="D758" s="11"/>
      <c r="E758" s="11"/>
      <c r="F758" s="12"/>
    </row>
    <row r="759" spans="1:6" x14ac:dyDescent="0.3">
      <c r="A759" s="13"/>
      <c r="B759" s="14" t="s">
        <v>38</v>
      </c>
      <c r="C759" s="15" t="s">
        <v>7</v>
      </c>
      <c r="D759" s="16">
        <v>0.26</v>
      </c>
      <c r="E759" s="17">
        <f>'HARGA BAHAN'!E4</f>
        <v>125000</v>
      </c>
      <c r="F759" s="18">
        <f>+D759*E759</f>
        <v>32500</v>
      </c>
    </row>
    <row r="760" spans="1:6" x14ac:dyDescent="0.3">
      <c r="A760" s="13"/>
      <c r="B760" s="19" t="s">
        <v>78</v>
      </c>
      <c r="C760" s="20" t="s">
        <v>7</v>
      </c>
      <c r="D760" s="21">
        <v>0.13</v>
      </c>
      <c r="E760" s="17">
        <f>'HARGA BAHAN'!E5</f>
        <v>160000</v>
      </c>
      <c r="F760" s="18">
        <f>+D760*E760</f>
        <v>20800</v>
      </c>
    </row>
    <row r="761" spans="1:6" x14ac:dyDescent="0.3">
      <c r="A761" s="13"/>
      <c r="B761" s="14" t="s">
        <v>79</v>
      </c>
      <c r="C761" s="15" t="s">
        <v>7</v>
      </c>
      <c r="D761" s="16">
        <v>1.2999999999999999E-2</v>
      </c>
      <c r="E761" s="17">
        <f>'HARGA BAHAN'!E6</f>
        <v>180000</v>
      </c>
      <c r="F761" s="18">
        <f>+D761*E761</f>
        <v>2340</v>
      </c>
    </row>
    <row r="762" spans="1:6" ht="17.25" thickBot="1" x14ac:dyDescent="0.35">
      <c r="A762" s="23"/>
      <c r="B762" s="24" t="s">
        <v>40</v>
      </c>
      <c r="C762" s="25" t="s">
        <v>7</v>
      </c>
      <c r="D762" s="26">
        <v>1.2999999999999999E-2</v>
      </c>
      <c r="E762" s="17">
        <f>'HARGA BAHAN'!E7</f>
        <v>175000</v>
      </c>
      <c r="F762" s="18">
        <f>+D762*E762</f>
        <v>2275</v>
      </c>
    </row>
    <row r="763" spans="1:6" ht="17.25" thickBot="1" x14ac:dyDescent="0.35">
      <c r="A763" s="27"/>
      <c r="B763" s="28"/>
      <c r="C763" s="29"/>
      <c r="D763" s="30" t="s">
        <v>8</v>
      </c>
      <c r="E763" s="31"/>
      <c r="F763" s="32">
        <f>SUM(F759:F762)</f>
        <v>57915</v>
      </c>
    </row>
    <row r="764" spans="1:6" x14ac:dyDescent="0.3">
      <c r="A764" s="33" t="s">
        <v>9</v>
      </c>
      <c r="B764" s="34" t="s">
        <v>70</v>
      </c>
      <c r="C764" s="35"/>
      <c r="D764" s="35"/>
      <c r="E764" s="35"/>
      <c r="F764" s="36"/>
    </row>
    <row r="765" spans="1:6" x14ac:dyDescent="0.3">
      <c r="A765" s="37"/>
      <c r="B765" s="38" t="s">
        <v>182</v>
      </c>
      <c r="C765" s="39" t="s">
        <v>137</v>
      </c>
      <c r="D765" s="40">
        <v>6.63</v>
      </c>
      <c r="E765" s="41">
        <f>'HARGA BAHAN'!E84</f>
        <v>28000</v>
      </c>
      <c r="F765" s="18">
        <f>+D765*E765</f>
        <v>185640</v>
      </c>
    </row>
    <row r="766" spans="1:6" x14ac:dyDescent="0.3">
      <c r="A766" s="62"/>
      <c r="B766" s="63" t="s">
        <v>183</v>
      </c>
      <c r="C766" s="64" t="s">
        <v>186</v>
      </c>
      <c r="D766" s="65">
        <v>9.8000000000000007</v>
      </c>
      <c r="E766" s="66">
        <f>'HARGA BAHAN'!E13</f>
        <v>2000</v>
      </c>
      <c r="F766" s="18">
        <f>+D766*E766</f>
        <v>19600</v>
      </c>
    </row>
    <row r="767" spans="1:6" x14ac:dyDescent="0.3">
      <c r="A767" s="62"/>
      <c r="B767" s="63" t="s">
        <v>184</v>
      </c>
      <c r="C767" s="64" t="s">
        <v>187</v>
      </c>
      <c r="D767" s="65">
        <v>4.4999999999999998E-2</v>
      </c>
      <c r="E767" s="66">
        <f>'HARGA BAHAN'!E15</f>
        <v>210000</v>
      </c>
      <c r="F767" s="18">
        <f>+D767*E767</f>
        <v>9450</v>
      </c>
    </row>
    <row r="768" spans="1:6" ht="17.25" thickBot="1" x14ac:dyDescent="0.35">
      <c r="A768" s="76"/>
      <c r="B768" s="77" t="s">
        <v>185</v>
      </c>
      <c r="C768" s="78" t="s">
        <v>186</v>
      </c>
      <c r="D768" s="79">
        <v>1.3</v>
      </c>
      <c r="E768" s="80">
        <f>'HARGA BAHAN'!E44</f>
        <v>6438.0000000000009</v>
      </c>
      <c r="F768" s="18">
        <f>+D768*E768</f>
        <v>8369.4000000000015</v>
      </c>
    </row>
    <row r="769" spans="1:6" ht="17.25" thickBot="1" x14ac:dyDescent="0.35">
      <c r="A769" s="27"/>
      <c r="B769" s="43"/>
      <c r="C769" s="43"/>
      <c r="D769" s="44" t="s">
        <v>10</v>
      </c>
      <c r="E769" s="43"/>
      <c r="F769" s="32">
        <f>SUM(F765:F768)</f>
        <v>223059.4</v>
      </c>
    </row>
    <row r="770" spans="1:6" x14ac:dyDescent="0.3">
      <c r="A770" s="33" t="s">
        <v>11</v>
      </c>
      <c r="B770" s="34" t="s">
        <v>71</v>
      </c>
      <c r="C770" s="35"/>
      <c r="D770" s="35"/>
      <c r="E770" s="35"/>
      <c r="F770" s="36"/>
    </row>
    <row r="771" spans="1:6" ht="17.25" thickBot="1" x14ac:dyDescent="0.35">
      <c r="A771" s="45"/>
      <c r="B771" s="46"/>
      <c r="C771" s="47"/>
      <c r="D771" s="48"/>
      <c r="E771" s="49"/>
      <c r="F771" s="50"/>
    </row>
    <row r="772" spans="1:6" ht="17.25" thickBot="1" x14ac:dyDescent="0.35">
      <c r="A772" s="27"/>
      <c r="B772" s="28"/>
      <c r="C772" s="29"/>
      <c r="D772" s="30" t="s">
        <v>12</v>
      </c>
      <c r="E772" s="31"/>
      <c r="F772" s="32">
        <f>SUM(F771)</f>
        <v>0</v>
      </c>
    </row>
    <row r="773" spans="1:6" x14ac:dyDescent="0.3">
      <c r="A773" s="33" t="s">
        <v>13</v>
      </c>
      <c r="B773" s="34" t="s">
        <v>14</v>
      </c>
      <c r="C773" s="51"/>
      <c r="D773" s="51"/>
      <c r="E773" s="52"/>
      <c r="F773" s="53">
        <f>+F763+F769+F772</f>
        <v>280974.40000000002</v>
      </c>
    </row>
    <row r="774" spans="1:6" x14ac:dyDescent="0.3">
      <c r="A774" s="9" t="s">
        <v>15</v>
      </c>
      <c r="B774" s="10" t="s">
        <v>49</v>
      </c>
      <c r="C774" s="54"/>
      <c r="D774" s="54"/>
      <c r="E774" s="55"/>
      <c r="F774" s="56">
        <f>F773*15%</f>
        <v>42146.16</v>
      </c>
    </row>
    <row r="775" spans="1:6" ht="17.25" thickBot="1" x14ac:dyDescent="0.35">
      <c r="A775" s="57" t="s">
        <v>16</v>
      </c>
      <c r="B775" s="58" t="s">
        <v>17</v>
      </c>
      <c r="C775" s="59"/>
      <c r="D775" s="59"/>
      <c r="E775" s="60"/>
      <c r="F775" s="61">
        <f>SUM(F773:F774)</f>
        <v>323120.56000000006</v>
      </c>
    </row>
    <row r="776" spans="1:6" x14ac:dyDescent="0.3">
      <c r="A776" s="99"/>
      <c r="B776" s="1"/>
      <c r="C776" s="1"/>
      <c r="D776" s="1"/>
      <c r="E776" s="1"/>
      <c r="F776" s="286"/>
    </row>
    <row r="777" spans="1:6" ht="17.25" thickBot="1" x14ac:dyDescent="0.35">
      <c r="A777" s="70" t="s">
        <v>494</v>
      </c>
      <c r="B777" s="1" t="s">
        <v>809</v>
      </c>
      <c r="C777" s="2"/>
      <c r="D777" s="2"/>
      <c r="E777" s="2"/>
      <c r="F777" s="2"/>
    </row>
    <row r="778" spans="1:6" ht="26.25" thickBot="1" x14ac:dyDescent="0.35">
      <c r="A778" s="3" t="s">
        <v>2</v>
      </c>
      <c r="B778" s="4" t="s">
        <v>3</v>
      </c>
      <c r="C778" s="4" t="s">
        <v>0</v>
      </c>
      <c r="D778" s="4" t="s">
        <v>4</v>
      </c>
      <c r="E778" s="4" t="s">
        <v>5</v>
      </c>
      <c r="F778" s="5" t="s">
        <v>6</v>
      </c>
    </row>
    <row r="779" spans="1:6" x14ac:dyDescent="0.3">
      <c r="A779" s="6">
        <v>1</v>
      </c>
      <c r="B779" s="7">
        <v>2</v>
      </c>
      <c r="C779" s="7">
        <v>3</v>
      </c>
      <c r="D779" s="7">
        <v>4</v>
      </c>
      <c r="E779" s="7">
        <v>5</v>
      </c>
      <c r="F779" s="8">
        <v>6</v>
      </c>
    </row>
    <row r="780" spans="1:6" x14ac:dyDescent="0.3">
      <c r="A780" s="9" t="s">
        <v>1</v>
      </c>
      <c r="B780" s="10" t="s">
        <v>69</v>
      </c>
      <c r="C780" s="11"/>
      <c r="D780" s="11"/>
      <c r="E780" s="11"/>
      <c r="F780" s="12"/>
    </row>
    <row r="781" spans="1:6" x14ac:dyDescent="0.3">
      <c r="A781" s="13"/>
      <c r="B781" s="14" t="s">
        <v>38</v>
      </c>
      <c r="C781" s="15" t="s">
        <v>7</v>
      </c>
      <c r="D781" s="16">
        <v>0.26</v>
      </c>
      <c r="E781" s="17">
        <f>'HARGA BAHAN'!E4</f>
        <v>125000</v>
      </c>
      <c r="F781" s="18">
        <f>+D781*E781</f>
        <v>32500</v>
      </c>
    </row>
    <row r="782" spans="1:6" x14ac:dyDescent="0.3">
      <c r="A782" s="13"/>
      <c r="B782" s="19" t="s">
        <v>78</v>
      </c>
      <c r="C782" s="20" t="s">
        <v>7</v>
      </c>
      <c r="D782" s="21">
        <v>0.13</v>
      </c>
      <c r="E782" s="17">
        <f>'HARGA BAHAN'!E5</f>
        <v>160000</v>
      </c>
      <c r="F782" s="18">
        <f>+D782*E782</f>
        <v>20800</v>
      </c>
    </row>
    <row r="783" spans="1:6" x14ac:dyDescent="0.3">
      <c r="A783" s="13"/>
      <c r="B783" s="14" t="s">
        <v>79</v>
      </c>
      <c r="C783" s="15" t="s">
        <v>7</v>
      </c>
      <c r="D783" s="16">
        <v>1.2999999999999999E-2</v>
      </c>
      <c r="E783" s="17">
        <f>'HARGA BAHAN'!E6</f>
        <v>180000</v>
      </c>
      <c r="F783" s="18">
        <f>+D783*E783</f>
        <v>2340</v>
      </c>
    </row>
    <row r="784" spans="1:6" ht="17.25" thickBot="1" x14ac:dyDescent="0.35">
      <c r="A784" s="23"/>
      <c r="B784" s="24" t="s">
        <v>40</v>
      </c>
      <c r="C784" s="25" t="s">
        <v>7</v>
      </c>
      <c r="D784" s="26">
        <v>1.2999999999999999E-2</v>
      </c>
      <c r="E784" s="17">
        <f>'HARGA BAHAN'!E7</f>
        <v>175000</v>
      </c>
      <c r="F784" s="18">
        <f>+D784*E784</f>
        <v>2275</v>
      </c>
    </row>
    <row r="785" spans="1:6" ht="17.25" thickBot="1" x14ac:dyDescent="0.35">
      <c r="A785" s="27"/>
      <c r="B785" s="28"/>
      <c r="C785" s="29"/>
      <c r="D785" s="30" t="s">
        <v>8</v>
      </c>
      <c r="E785" s="31"/>
      <c r="F785" s="32">
        <f>SUM(F781:F784)</f>
        <v>57915</v>
      </c>
    </row>
    <row r="786" spans="1:6" x14ac:dyDescent="0.3">
      <c r="A786" s="33" t="s">
        <v>9</v>
      </c>
      <c r="B786" s="34" t="s">
        <v>70</v>
      </c>
      <c r="C786" s="35"/>
      <c r="D786" s="35"/>
      <c r="E786" s="35"/>
      <c r="F786" s="36"/>
    </row>
    <row r="787" spans="1:6" x14ac:dyDescent="0.3">
      <c r="A787" s="37"/>
      <c r="B787" s="38" t="s">
        <v>495</v>
      </c>
      <c r="C787" s="39" t="s">
        <v>137</v>
      </c>
      <c r="D787" s="40">
        <v>16</v>
      </c>
      <c r="E787" s="41">
        <f>'HARGA BAHAN'!E39</f>
        <v>5000</v>
      </c>
      <c r="F787" s="18">
        <f>+D787*E787</f>
        <v>80000</v>
      </c>
    </row>
    <row r="788" spans="1:6" x14ac:dyDescent="0.3">
      <c r="A788" s="62"/>
      <c r="B788" s="63" t="s">
        <v>183</v>
      </c>
      <c r="C788" s="64" t="s">
        <v>186</v>
      </c>
      <c r="D788" s="65">
        <v>10</v>
      </c>
      <c r="E788" s="66">
        <f>'HARGA BAHAN'!E13</f>
        <v>2000</v>
      </c>
      <c r="F788" s="18">
        <f>+D788*E788</f>
        <v>20000</v>
      </c>
    </row>
    <row r="789" spans="1:6" x14ac:dyDescent="0.3">
      <c r="A789" s="62"/>
      <c r="B789" s="63" t="s">
        <v>184</v>
      </c>
      <c r="C789" s="64" t="s">
        <v>187</v>
      </c>
      <c r="D789" s="65">
        <v>4.4999999999999998E-2</v>
      </c>
      <c r="E789" s="66">
        <f>'HARGA BAHAN'!E15</f>
        <v>210000</v>
      </c>
      <c r="F789" s="18">
        <f>+D789*E789</f>
        <v>9450</v>
      </c>
    </row>
    <row r="790" spans="1:6" ht="17.25" thickBot="1" x14ac:dyDescent="0.35">
      <c r="A790" s="76"/>
      <c r="B790" s="77" t="s">
        <v>185</v>
      </c>
      <c r="C790" s="78" t="s">
        <v>186</v>
      </c>
      <c r="D790" s="79">
        <v>1.45</v>
      </c>
      <c r="E790" s="80">
        <f>'HARGA BAHAN'!E44</f>
        <v>6438.0000000000009</v>
      </c>
      <c r="F790" s="18">
        <f>+D790*E790</f>
        <v>9335.1</v>
      </c>
    </row>
    <row r="791" spans="1:6" ht="17.25" thickBot="1" x14ac:dyDescent="0.35">
      <c r="A791" s="27"/>
      <c r="B791" s="43"/>
      <c r="C791" s="43"/>
      <c r="D791" s="44" t="s">
        <v>10</v>
      </c>
      <c r="E791" s="43"/>
      <c r="F791" s="32">
        <f>SUM(F787:F790)</f>
        <v>118785.1</v>
      </c>
    </row>
    <row r="792" spans="1:6" x14ac:dyDescent="0.3">
      <c r="A792" s="33" t="s">
        <v>11</v>
      </c>
      <c r="B792" s="34" t="s">
        <v>71</v>
      </c>
      <c r="C792" s="35"/>
      <c r="D792" s="35"/>
      <c r="E792" s="35"/>
      <c r="F792" s="36"/>
    </row>
    <row r="793" spans="1:6" ht="17.25" thickBot="1" x14ac:dyDescent="0.35">
      <c r="A793" s="45"/>
      <c r="B793" s="46"/>
      <c r="C793" s="47"/>
      <c r="D793" s="48"/>
      <c r="E793" s="49"/>
      <c r="F793" s="50"/>
    </row>
    <row r="794" spans="1:6" ht="17.25" thickBot="1" x14ac:dyDescent="0.35">
      <c r="A794" s="27"/>
      <c r="B794" s="28"/>
      <c r="C794" s="29"/>
      <c r="D794" s="30" t="s">
        <v>12</v>
      </c>
      <c r="E794" s="31"/>
      <c r="F794" s="32">
        <f>SUM(F793)</f>
        <v>0</v>
      </c>
    </row>
    <row r="795" spans="1:6" x14ac:dyDescent="0.3">
      <c r="A795" s="33" t="s">
        <v>13</v>
      </c>
      <c r="B795" s="34" t="s">
        <v>14</v>
      </c>
      <c r="C795" s="51"/>
      <c r="D795" s="51"/>
      <c r="E795" s="52"/>
      <c r="F795" s="53">
        <f>+F785+F791+F794</f>
        <v>176700.1</v>
      </c>
    </row>
    <row r="796" spans="1:6" x14ac:dyDescent="0.3">
      <c r="A796" s="9" t="s">
        <v>15</v>
      </c>
      <c r="B796" s="10" t="s">
        <v>49</v>
      </c>
      <c r="C796" s="54"/>
      <c r="D796" s="54"/>
      <c r="E796" s="55"/>
      <c r="F796" s="56">
        <f>F795*15%</f>
        <v>26505.014999999999</v>
      </c>
    </row>
    <row r="797" spans="1:6" ht="17.25" thickBot="1" x14ac:dyDescent="0.35">
      <c r="A797" s="57" t="s">
        <v>16</v>
      </c>
      <c r="B797" s="58" t="s">
        <v>17</v>
      </c>
      <c r="C797" s="59"/>
      <c r="D797" s="59"/>
      <c r="E797" s="60"/>
      <c r="F797" s="61">
        <f>SUM(F795:F796)</f>
        <v>203205.11499999999</v>
      </c>
    </row>
    <row r="798" spans="1:6" x14ac:dyDescent="0.3">
      <c r="A798" s="99"/>
      <c r="B798" s="1"/>
      <c r="C798" s="1"/>
      <c r="D798" s="1"/>
      <c r="E798" s="1"/>
      <c r="F798" s="286"/>
    </row>
    <row r="799" spans="1:6" ht="17.25" thickBot="1" x14ac:dyDescent="0.35">
      <c r="A799" s="70" t="s">
        <v>497</v>
      </c>
      <c r="B799" s="1" t="s">
        <v>810</v>
      </c>
      <c r="C799" s="2"/>
      <c r="D799" s="2"/>
      <c r="E799" s="2"/>
      <c r="F799" s="2"/>
    </row>
    <row r="800" spans="1:6" ht="26.25" thickBot="1" x14ac:dyDescent="0.35">
      <c r="A800" s="3" t="s">
        <v>2</v>
      </c>
      <c r="B800" s="4" t="s">
        <v>3</v>
      </c>
      <c r="C800" s="4" t="s">
        <v>0</v>
      </c>
      <c r="D800" s="4" t="s">
        <v>4</v>
      </c>
      <c r="E800" s="4" t="s">
        <v>5</v>
      </c>
      <c r="F800" s="5" t="s">
        <v>6</v>
      </c>
    </row>
    <row r="801" spans="1:6" x14ac:dyDescent="0.3">
      <c r="A801" s="6">
        <v>1</v>
      </c>
      <c r="B801" s="7">
        <v>2</v>
      </c>
      <c r="C801" s="7">
        <v>3</v>
      </c>
      <c r="D801" s="7">
        <v>4</v>
      </c>
      <c r="E801" s="7">
        <v>5</v>
      </c>
      <c r="F801" s="8">
        <v>6</v>
      </c>
    </row>
    <row r="802" spans="1:6" x14ac:dyDescent="0.3">
      <c r="A802" s="9" t="s">
        <v>1</v>
      </c>
      <c r="B802" s="10" t="s">
        <v>69</v>
      </c>
      <c r="C802" s="11"/>
      <c r="D802" s="11"/>
      <c r="E802" s="11"/>
      <c r="F802" s="12"/>
    </row>
    <row r="803" spans="1:6" x14ac:dyDescent="0.3">
      <c r="A803" s="13"/>
      <c r="B803" s="14" t="s">
        <v>38</v>
      </c>
      <c r="C803" s="15" t="s">
        <v>7</v>
      </c>
      <c r="D803" s="16">
        <v>0.26</v>
      </c>
      <c r="E803" s="17">
        <f>'HARGA BAHAN'!E4</f>
        <v>125000</v>
      </c>
      <c r="F803" s="18">
        <f>+D803*E803</f>
        <v>32500</v>
      </c>
    </row>
    <row r="804" spans="1:6" x14ac:dyDescent="0.3">
      <c r="A804" s="13"/>
      <c r="B804" s="19" t="s">
        <v>78</v>
      </c>
      <c r="C804" s="20" t="s">
        <v>7</v>
      </c>
      <c r="D804" s="21">
        <v>0.13</v>
      </c>
      <c r="E804" s="17">
        <f>'HARGA BAHAN'!E5</f>
        <v>160000</v>
      </c>
      <c r="F804" s="18">
        <f>+D804*E804</f>
        <v>20800</v>
      </c>
    </row>
    <row r="805" spans="1:6" x14ac:dyDescent="0.3">
      <c r="A805" s="13"/>
      <c r="B805" s="14" t="s">
        <v>79</v>
      </c>
      <c r="C805" s="15" t="s">
        <v>7</v>
      </c>
      <c r="D805" s="16">
        <v>1.2999999999999999E-2</v>
      </c>
      <c r="E805" s="17">
        <f>'HARGA BAHAN'!E6</f>
        <v>180000</v>
      </c>
      <c r="F805" s="18">
        <f>+D805*E805</f>
        <v>2340</v>
      </c>
    </row>
    <row r="806" spans="1:6" ht="17.25" thickBot="1" x14ac:dyDescent="0.35">
      <c r="A806" s="23"/>
      <c r="B806" s="24" t="s">
        <v>40</v>
      </c>
      <c r="C806" s="25" t="s">
        <v>7</v>
      </c>
      <c r="D806" s="26">
        <v>1.2999999999999999E-2</v>
      </c>
      <c r="E806" s="17">
        <f>'HARGA BAHAN'!E7</f>
        <v>175000</v>
      </c>
      <c r="F806" s="18">
        <f>+D806*E806</f>
        <v>2275</v>
      </c>
    </row>
    <row r="807" spans="1:6" ht="17.25" thickBot="1" x14ac:dyDescent="0.35">
      <c r="A807" s="27"/>
      <c r="B807" s="28"/>
      <c r="C807" s="29"/>
      <c r="D807" s="30" t="s">
        <v>8</v>
      </c>
      <c r="E807" s="31"/>
      <c r="F807" s="32">
        <f>SUM(F803:F806)</f>
        <v>57915</v>
      </c>
    </row>
    <row r="808" spans="1:6" x14ac:dyDescent="0.3">
      <c r="A808" s="33" t="s">
        <v>9</v>
      </c>
      <c r="B808" s="34" t="s">
        <v>70</v>
      </c>
      <c r="C808" s="35"/>
      <c r="D808" s="35"/>
      <c r="E808" s="35"/>
      <c r="F808" s="36"/>
    </row>
    <row r="809" spans="1:6" x14ac:dyDescent="0.3">
      <c r="A809" s="37"/>
      <c r="B809" s="38" t="s">
        <v>498</v>
      </c>
      <c r="C809" s="39" t="s">
        <v>137</v>
      </c>
      <c r="D809" s="40">
        <v>10</v>
      </c>
      <c r="E809" s="41">
        <f>'HARGA BAHAN'!E41</f>
        <v>10000</v>
      </c>
      <c r="F809" s="18">
        <f>+D809*E809</f>
        <v>100000</v>
      </c>
    </row>
    <row r="810" spans="1:6" x14ac:dyDescent="0.3">
      <c r="A810" s="62"/>
      <c r="B810" s="63" t="s">
        <v>183</v>
      </c>
      <c r="C810" s="64" t="s">
        <v>186</v>
      </c>
      <c r="D810" s="65">
        <v>9.8000000000000007</v>
      </c>
      <c r="E810" s="66">
        <f>'HARGA BAHAN'!E13</f>
        <v>2000</v>
      </c>
      <c r="F810" s="18">
        <f>+D810*E810</f>
        <v>19600</v>
      </c>
    </row>
    <row r="811" spans="1:6" x14ac:dyDescent="0.3">
      <c r="A811" s="62"/>
      <c r="B811" s="63" t="s">
        <v>184</v>
      </c>
      <c r="C811" s="64" t="s">
        <v>187</v>
      </c>
      <c r="D811" s="65">
        <v>4.4999999999999998E-2</v>
      </c>
      <c r="E811" s="66">
        <f>'HARGA BAHAN'!E15</f>
        <v>210000</v>
      </c>
      <c r="F811" s="18">
        <f>+D811*E811</f>
        <v>9450</v>
      </c>
    </row>
    <row r="812" spans="1:6" ht="17.25" thickBot="1" x14ac:dyDescent="0.35">
      <c r="A812" s="76"/>
      <c r="B812" s="77" t="s">
        <v>185</v>
      </c>
      <c r="C812" s="78" t="s">
        <v>186</v>
      </c>
      <c r="D812" s="79">
        <v>1.3</v>
      </c>
      <c r="E812" s="80">
        <f>'HARGA BAHAN'!E44</f>
        <v>6438.0000000000009</v>
      </c>
      <c r="F812" s="18">
        <f>+D812*E812</f>
        <v>8369.4000000000015</v>
      </c>
    </row>
    <row r="813" spans="1:6" ht="17.25" thickBot="1" x14ac:dyDescent="0.35">
      <c r="A813" s="27"/>
      <c r="B813" s="43"/>
      <c r="C813" s="43"/>
      <c r="D813" s="44" t="s">
        <v>10</v>
      </c>
      <c r="E813" s="43"/>
      <c r="F813" s="32">
        <f>SUM(F809:F812)</f>
        <v>137419.4</v>
      </c>
    </row>
    <row r="814" spans="1:6" x14ac:dyDescent="0.3">
      <c r="A814" s="33" t="s">
        <v>11</v>
      </c>
      <c r="B814" s="34" t="s">
        <v>71</v>
      </c>
      <c r="C814" s="35"/>
      <c r="D814" s="35"/>
      <c r="E814" s="35"/>
      <c r="F814" s="36"/>
    </row>
    <row r="815" spans="1:6" ht="17.25" thickBot="1" x14ac:dyDescent="0.35">
      <c r="A815" s="45"/>
      <c r="B815" s="46"/>
      <c r="C815" s="47"/>
      <c r="D815" s="48"/>
      <c r="E815" s="49"/>
      <c r="F815" s="50"/>
    </row>
    <row r="816" spans="1:6" ht="17.25" thickBot="1" x14ac:dyDescent="0.35">
      <c r="A816" s="27"/>
      <c r="B816" s="28"/>
      <c r="C816" s="29"/>
      <c r="D816" s="30" t="s">
        <v>12</v>
      </c>
      <c r="E816" s="31"/>
      <c r="F816" s="32">
        <f>SUM(F815)</f>
        <v>0</v>
      </c>
    </row>
    <row r="817" spans="1:6" x14ac:dyDescent="0.3">
      <c r="A817" s="33" t="s">
        <v>13</v>
      </c>
      <c r="B817" s="34" t="s">
        <v>14</v>
      </c>
      <c r="C817" s="51"/>
      <c r="D817" s="51"/>
      <c r="E817" s="52"/>
      <c r="F817" s="53">
        <f>+F807+F813+F816</f>
        <v>195334.39999999999</v>
      </c>
    </row>
    <row r="818" spans="1:6" x14ac:dyDescent="0.3">
      <c r="A818" s="9" t="s">
        <v>15</v>
      </c>
      <c r="B818" s="10" t="s">
        <v>49</v>
      </c>
      <c r="C818" s="54"/>
      <c r="D818" s="54"/>
      <c r="E818" s="55"/>
      <c r="F818" s="56">
        <f>F817*15%</f>
        <v>29300.16</v>
      </c>
    </row>
    <row r="819" spans="1:6" ht="17.25" thickBot="1" x14ac:dyDescent="0.35">
      <c r="A819" s="57" t="s">
        <v>16</v>
      </c>
      <c r="B819" s="58" t="s">
        <v>17</v>
      </c>
      <c r="C819" s="59"/>
      <c r="D819" s="59"/>
      <c r="E819" s="60"/>
      <c r="F819" s="61">
        <f>SUM(F817:F818)</f>
        <v>224634.56</v>
      </c>
    </row>
    <row r="820" spans="1:6" x14ac:dyDescent="0.3">
      <c r="A820" s="99"/>
      <c r="B820" s="1"/>
      <c r="C820" s="1"/>
      <c r="D820" s="1"/>
      <c r="E820" s="1"/>
      <c r="F820" s="286"/>
    </row>
    <row r="821" spans="1:6" ht="17.25" thickBot="1" x14ac:dyDescent="0.35">
      <c r="A821" s="70" t="s">
        <v>675</v>
      </c>
      <c r="B821" s="1" t="s">
        <v>676</v>
      </c>
      <c r="C821" s="2"/>
      <c r="D821" s="2"/>
      <c r="E821" s="2"/>
      <c r="F821" s="2"/>
    </row>
    <row r="822" spans="1:6" ht="26.25" thickBot="1" x14ac:dyDescent="0.35">
      <c r="A822" s="3" t="s">
        <v>2</v>
      </c>
      <c r="B822" s="4" t="s">
        <v>3</v>
      </c>
      <c r="C822" s="4" t="s">
        <v>0</v>
      </c>
      <c r="D822" s="4" t="s">
        <v>4</v>
      </c>
      <c r="E822" s="4" t="s">
        <v>5</v>
      </c>
      <c r="F822" s="5" t="s">
        <v>6</v>
      </c>
    </row>
    <row r="823" spans="1:6" x14ac:dyDescent="0.3">
      <c r="A823" s="6">
        <v>1</v>
      </c>
      <c r="B823" s="7">
        <v>2</v>
      </c>
      <c r="C823" s="7">
        <v>3</v>
      </c>
      <c r="D823" s="7">
        <v>4</v>
      </c>
      <c r="E823" s="7">
        <v>5</v>
      </c>
      <c r="F823" s="8">
        <v>6</v>
      </c>
    </row>
    <row r="824" spans="1:6" x14ac:dyDescent="0.3">
      <c r="A824" s="9" t="s">
        <v>1</v>
      </c>
      <c r="B824" s="10" t="s">
        <v>69</v>
      </c>
      <c r="C824" s="11"/>
      <c r="D824" s="11"/>
      <c r="E824" s="11"/>
      <c r="F824" s="12"/>
    </row>
    <row r="825" spans="1:6" x14ac:dyDescent="0.3">
      <c r="A825" s="13"/>
      <c r="B825" s="14" t="s">
        <v>38</v>
      </c>
      <c r="C825" s="15" t="s">
        <v>7</v>
      </c>
      <c r="D825" s="16">
        <v>0.25</v>
      </c>
      <c r="E825" s="17">
        <f>'HARGA BAHAN'!E4</f>
        <v>125000</v>
      </c>
      <c r="F825" s="18">
        <f>+D825*E825</f>
        <v>31250</v>
      </c>
    </row>
    <row r="826" spans="1:6" x14ac:dyDescent="0.3">
      <c r="A826" s="13"/>
      <c r="B826" s="19" t="s">
        <v>78</v>
      </c>
      <c r="C826" s="20" t="s">
        <v>7</v>
      </c>
      <c r="D826" s="21">
        <v>0.15</v>
      </c>
      <c r="E826" s="17">
        <f>'HARGA BAHAN'!E5</f>
        <v>160000</v>
      </c>
      <c r="F826" s="18">
        <f>+D826*E826</f>
        <v>24000</v>
      </c>
    </row>
    <row r="827" spans="1:6" x14ac:dyDescent="0.3">
      <c r="A827" s="13"/>
      <c r="B827" s="14" t="s">
        <v>79</v>
      </c>
      <c r="C827" s="15" t="s">
        <v>7</v>
      </c>
      <c r="D827" s="16">
        <v>1.4999999999999999E-2</v>
      </c>
      <c r="E827" s="17">
        <f>'HARGA BAHAN'!E6</f>
        <v>180000</v>
      </c>
      <c r="F827" s="18">
        <f>+D827*E827</f>
        <v>2700</v>
      </c>
    </row>
    <row r="828" spans="1:6" ht="17.25" thickBot="1" x14ac:dyDescent="0.35">
      <c r="A828" s="23"/>
      <c r="B828" s="24" t="s">
        <v>40</v>
      </c>
      <c r="C828" s="25" t="s">
        <v>7</v>
      </c>
      <c r="D828" s="26">
        <v>1.4999999999999999E-2</v>
      </c>
      <c r="E828" s="17">
        <f>'HARGA BAHAN'!E7</f>
        <v>175000</v>
      </c>
      <c r="F828" s="18">
        <f>+D828*E828</f>
        <v>2625</v>
      </c>
    </row>
    <row r="829" spans="1:6" ht="17.25" thickBot="1" x14ac:dyDescent="0.35">
      <c r="A829" s="27"/>
      <c r="B829" s="28"/>
      <c r="C829" s="29"/>
      <c r="D829" s="30" t="s">
        <v>8</v>
      </c>
      <c r="E829" s="31"/>
      <c r="F829" s="32">
        <f>SUM(F825:F828)</f>
        <v>60575</v>
      </c>
    </row>
    <row r="830" spans="1:6" x14ac:dyDescent="0.3">
      <c r="A830" s="33" t="s">
        <v>9</v>
      </c>
      <c r="B830" s="34" t="s">
        <v>70</v>
      </c>
      <c r="C830" s="35"/>
      <c r="D830" s="35"/>
      <c r="E830" s="35"/>
      <c r="F830" s="36"/>
    </row>
    <row r="831" spans="1:6" x14ac:dyDescent="0.3">
      <c r="A831" s="37"/>
      <c r="B831" s="38" t="s">
        <v>677</v>
      </c>
      <c r="C831" s="39" t="s">
        <v>211</v>
      </c>
      <c r="D831" s="40">
        <v>1</v>
      </c>
      <c r="E831" s="41">
        <f>'HARGA BAHAN'!E62</f>
        <v>150000</v>
      </c>
      <c r="F831" s="18">
        <f>+D831*E831</f>
        <v>150000</v>
      </c>
    </row>
    <row r="832" spans="1:6" ht="17.25" thickBot="1" x14ac:dyDescent="0.35">
      <c r="A832" s="62"/>
      <c r="B832" s="63" t="s">
        <v>157</v>
      </c>
      <c r="C832" s="64" t="s">
        <v>137</v>
      </c>
      <c r="D832" s="65">
        <v>8</v>
      </c>
      <c r="E832" s="66">
        <f>'HARGA BAHAN'!E78</f>
        <v>550</v>
      </c>
      <c r="F832" s="18">
        <f>+D832*E832</f>
        <v>4400</v>
      </c>
    </row>
    <row r="833" spans="1:6" ht="17.25" thickBot="1" x14ac:dyDescent="0.35">
      <c r="A833" s="27"/>
      <c r="B833" s="43"/>
      <c r="C833" s="43"/>
      <c r="D833" s="44" t="s">
        <v>10</v>
      </c>
      <c r="E833" s="43"/>
      <c r="F833" s="32">
        <f>SUM(F831:F832)</f>
        <v>154400</v>
      </c>
    </row>
    <row r="834" spans="1:6" x14ac:dyDescent="0.3">
      <c r="A834" s="33" t="s">
        <v>11</v>
      </c>
      <c r="B834" s="34" t="s">
        <v>71</v>
      </c>
      <c r="C834" s="35"/>
      <c r="D834" s="35"/>
      <c r="E834" s="35"/>
      <c r="F834" s="36"/>
    </row>
    <row r="835" spans="1:6" ht="17.25" thickBot="1" x14ac:dyDescent="0.35">
      <c r="A835" s="45"/>
      <c r="B835" s="46"/>
      <c r="C835" s="47"/>
      <c r="D835" s="48"/>
      <c r="E835" s="49"/>
      <c r="F835" s="50"/>
    </row>
    <row r="836" spans="1:6" ht="17.25" thickBot="1" x14ac:dyDescent="0.35">
      <c r="A836" s="27"/>
      <c r="B836" s="28"/>
      <c r="C836" s="29"/>
      <c r="D836" s="30" t="s">
        <v>12</v>
      </c>
      <c r="E836" s="31"/>
      <c r="F836" s="32">
        <f>SUM(F835)</f>
        <v>0</v>
      </c>
    </row>
    <row r="837" spans="1:6" x14ac:dyDescent="0.3">
      <c r="A837" s="33" t="s">
        <v>13</v>
      </c>
      <c r="B837" s="34" t="s">
        <v>14</v>
      </c>
      <c r="C837" s="51"/>
      <c r="D837" s="51"/>
      <c r="E837" s="52"/>
      <c r="F837" s="53">
        <f>+F829+F833+F836</f>
        <v>214975</v>
      </c>
    </row>
    <row r="838" spans="1:6" x14ac:dyDescent="0.3">
      <c r="A838" s="9" t="s">
        <v>15</v>
      </c>
      <c r="B838" s="10" t="s">
        <v>49</v>
      </c>
      <c r="C838" s="54"/>
      <c r="D838" s="54"/>
      <c r="E838" s="55"/>
      <c r="F838" s="56">
        <f>F837*15%</f>
        <v>32246.25</v>
      </c>
    </row>
    <row r="839" spans="1:6" ht="17.25" thickBot="1" x14ac:dyDescent="0.35">
      <c r="A839" s="57" t="s">
        <v>16</v>
      </c>
      <c r="B839" s="58" t="s">
        <v>17</v>
      </c>
      <c r="C839" s="59"/>
      <c r="D839" s="59"/>
      <c r="E839" s="60"/>
      <c r="F839" s="61">
        <f>SUM(F837:F838)</f>
        <v>247221.25</v>
      </c>
    </row>
    <row r="840" spans="1:6" x14ac:dyDescent="0.3">
      <c r="A840" s="99"/>
      <c r="B840" s="1"/>
      <c r="C840" s="1"/>
      <c r="D840" s="1"/>
      <c r="E840" s="1"/>
      <c r="F840" s="286"/>
    </row>
    <row r="841" spans="1:6" ht="17.25" thickBot="1" x14ac:dyDescent="0.35">
      <c r="A841" s="70" t="s">
        <v>226</v>
      </c>
      <c r="B841" s="1" t="s">
        <v>229</v>
      </c>
      <c r="C841" s="2"/>
      <c r="D841" s="2"/>
      <c r="E841" s="2"/>
      <c r="F841" s="2"/>
    </row>
    <row r="842" spans="1:6" ht="26.25" thickBot="1" x14ac:dyDescent="0.35">
      <c r="A842" s="3" t="s">
        <v>2</v>
      </c>
      <c r="B842" s="4" t="s">
        <v>3</v>
      </c>
      <c r="C842" s="4" t="s">
        <v>0</v>
      </c>
      <c r="D842" s="4" t="s">
        <v>4</v>
      </c>
      <c r="E842" s="4" t="s">
        <v>5</v>
      </c>
      <c r="F842" s="5" t="s">
        <v>6</v>
      </c>
    </row>
    <row r="843" spans="1:6" x14ac:dyDescent="0.3">
      <c r="A843" s="6">
        <v>1</v>
      </c>
      <c r="B843" s="7">
        <v>2</v>
      </c>
      <c r="C843" s="7">
        <v>3</v>
      </c>
      <c r="D843" s="7">
        <v>4</v>
      </c>
      <c r="E843" s="7">
        <v>5</v>
      </c>
      <c r="F843" s="8">
        <v>6</v>
      </c>
    </row>
    <row r="844" spans="1:6" x14ac:dyDescent="0.3">
      <c r="A844" s="9" t="s">
        <v>1</v>
      </c>
      <c r="B844" s="10" t="s">
        <v>128</v>
      </c>
      <c r="C844" s="11"/>
      <c r="D844" s="11"/>
      <c r="E844" s="11"/>
      <c r="F844" s="12"/>
    </row>
    <row r="845" spans="1:6" x14ac:dyDescent="0.3">
      <c r="A845" s="13"/>
      <c r="B845" s="14" t="s">
        <v>129</v>
      </c>
      <c r="C845" s="15" t="s">
        <v>7</v>
      </c>
      <c r="D845" s="16">
        <v>1</v>
      </c>
      <c r="E845" s="17">
        <f>'HARGA BAHAN'!E4</f>
        <v>125000</v>
      </c>
      <c r="F845" s="18">
        <f>+D845*E845</f>
        <v>125000</v>
      </c>
    </row>
    <row r="846" spans="1:6" x14ac:dyDescent="0.3">
      <c r="A846" s="13"/>
      <c r="B846" s="19" t="s">
        <v>130</v>
      </c>
      <c r="C846" s="20" t="s">
        <v>7</v>
      </c>
      <c r="D846" s="21">
        <v>3</v>
      </c>
      <c r="E846" s="22">
        <f>'HARGA BAHAN'!E5</f>
        <v>160000</v>
      </c>
      <c r="F846" s="98">
        <f>+D846*E846</f>
        <v>480000</v>
      </c>
    </row>
    <row r="847" spans="1:6" x14ac:dyDescent="0.3">
      <c r="A847" s="13"/>
      <c r="B847" s="14" t="s">
        <v>131</v>
      </c>
      <c r="C847" s="15" t="s">
        <v>7</v>
      </c>
      <c r="D847" s="16">
        <v>0.3</v>
      </c>
      <c r="E847" s="22" t="e">
        <f>+#REF!</f>
        <v>#REF!</v>
      </c>
      <c r="F847" s="18" t="e">
        <f>+D847*E847</f>
        <v>#REF!</v>
      </c>
    </row>
    <row r="848" spans="1:6" ht="17.25" thickBot="1" x14ac:dyDescent="0.35">
      <c r="A848" s="23"/>
      <c r="B848" s="24" t="s">
        <v>132</v>
      </c>
      <c r="C848" s="25" t="s">
        <v>7</v>
      </c>
      <c r="D848" s="26">
        <v>0.05</v>
      </c>
      <c r="E848" s="22">
        <f>'HARGA BAHAN'!E7</f>
        <v>175000</v>
      </c>
      <c r="F848" s="96">
        <f>+D848*E848</f>
        <v>8750</v>
      </c>
    </row>
    <row r="849" spans="1:6" ht="17.25" thickBot="1" x14ac:dyDescent="0.35">
      <c r="A849" s="27"/>
      <c r="B849" s="28"/>
      <c r="C849" s="29"/>
      <c r="D849" s="30" t="s">
        <v>8</v>
      </c>
      <c r="E849" s="31"/>
      <c r="F849" s="32" t="e">
        <f>SUM(F845:F848)</f>
        <v>#REF!</v>
      </c>
    </row>
    <row r="850" spans="1:6" x14ac:dyDescent="0.3">
      <c r="A850" s="33" t="s">
        <v>9</v>
      </c>
      <c r="B850" s="34" t="s">
        <v>133</v>
      </c>
      <c r="C850" s="35"/>
      <c r="D850" s="35"/>
      <c r="E850" s="35"/>
      <c r="F850" s="36"/>
    </row>
    <row r="851" spans="1:6" x14ac:dyDescent="0.3">
      <c r="A851" s="37"/>
      <c r="B851" s="38" t="s">
        <v>227</v>
      </c>
      <c r="C851" s="39" t="s">
        <v>137</v>
      </c>
      <c r="D851" s="40">
        <v>0.04</v>
      </c>
      <c r="E851" s="41">
        <f>'HARGA BAHAN'!E34</f>
        <v>7100000</v>
      </c>
      <c r="F851" s="42">
        <f>+D851*E851</f>
        <v>284000</v>
      </c>
    </row>
    <row r="852" spans="1:6" ht="17.25" thickBot="1" x14ac:dyDescent="0.35">
      <c r="A852" s="13"/>
      <c r="B852" s="14" t="s">
        <v>228</v>
      </c>
      <c r="C852" s="15" t="s">
        <v>186</v>
      </c>
      <c r="D852" s="16">
        <v>0.5</v>
      </c>
      <c r="E852" s="17">
        <f>'HARGA BAHAN'!E96</f>
        <v>174000</v>
      </c>
      <c r="F852" s="18">
        <f>+D852*E852</f>
        <v>87000</v>
      </c>
    </row>
    <row r="853" spans="1:6" ht="17.25" thickBot="1" x14ac:dyDescent="0.35">
      <c r="A853" s="27"/>
      <c r="B853" s="43"/>
      <c r="C853" s="43"/>
      <c r="D853" s="44" t="s">
        <v>10</v>
      </c>
      <c r="E853" s="43"/>
      <c r="F853" s="32">
        <f>SUM(F851:F852)</f>
        <v>371000</v>
      </c>
    </row>
    <row r="854" spans="1:6" x14ac:dyDescent="0.3">
      <c r="A854" s="33" t="s">
        <v>11</v>
      </c>
      <c r="B854" s="34" t="s">
        <v>138</v>
      </c>
      <c r="C854" s="35"/>
      <c r="D854" s="35"/>
      <c r="E854" s="35"/>
      <c r="F854" s="36"/>
    </row>
    <row r="855" spans="1:6" ht="17.25" thickBot="1" x14ac:dyDescent="0.35">
      <c r="A855" s="45"/>
      <c r="B855" s="46"/>
      <c r="C855" s="47"/>
      <c r="D855" s="48"/>
      <c r="E855" s="49"/>
      <c r="F855" s="50"/>
    </row>
    <row r="856" spans="1:6" ht="17.25" thickBot="1" x14ac:dyDescent="0.35">
      <c r="A856" s="27"/>
      <c r="B856" s="28"/>
      <c r="C856" s="29"/>
      <c r="D856" s="30" t="s">
        <v>12</v>
      </c>
      <c r="E856" s="31"/>
      <c r="F856" s="32">
        <f>SUM(F855)</f>
        <v>0</v>
      </c>
    </row>
    <row r="857" spans="1:6" x14ac:dyDescent="0.3">
      <c r="A857" s="33" t="s">
        <v>13</v>
      </c>
      <c r="B857" s="34" t="s">
        <v>14</v>
      </c>
      <c r="C857" s="51"/>
      <c r="D857" s="51"/>
      <c r="E857" s="52"/>
      <c r="F857" s="53" t="e">
        <f>+F849+F853+F856</f>
        <v>#REF!</v>
      </c>
    </row>
    <row r="858" spans="1:6" x14ac:dyDescent="0.3">
      <c r="A858" s="9" t="s">
        <v>15</v>
      </c>
      <c r="B858" s="10" t="s">
        <v>49</v>
      </c>
      <c r="C858" s="54"/>
      <c r="D858" s="54"/>
      <c r="E858" s="55"/>
      <c r="F858" s="56" t="e">
        <f>F857*0.15</f>
        <v>#REF!</v>
      </c>
    </row>
    <row r="859" spans="1:6" ht="17.25" thickBot="1" x14ac:dyDescent="0.35">
      <c r="A859" s="57" t="s">
        <v>16</v>
      </c>
      <c r="B859" s="58" t="s">
        <v>17</v>
      </c>
      <c r="C859" s="59"/>
      <c r="D859" s="59"/>
      <c r="E859" s="60"/>
      <c r="F859" s="61" t="e">
        <f>SUM(F857:F858)</f>
        <v>#REF!</v>
      </c>
    </row>
    <row r="860" spans="1:6" x14ac:dyDescent="0.3">
      <c r="A860" s="99"/>
      <c r="B860" s="1"/>
      <c r="C860" s="1"/>
      <c r="D860" s="1"/>
      <c r="E860" s="1"/>
      <c r="F860" s="286"/>
    </row>
    <row r="861" spans="1:6" ht="17.25" thickBot="1" x14ac:dyDescent="0.35">
      <c r="A861" s="70" t="s">
        <v>234</v>
      </c>
      <c r="B861" s="1" t="s">
        <v>235</v>
      </c>
      <c r="C861" s="2"/>
      <c r="D861" s="2"/>
      <c r="E861" s="2"/>
      <c r="F861" s="2"/>
    </row>
    <row r="862" spans="1:6" ht="26.25" thickBot="1" x14ac:dyDescent="0.35">
      <c r="A862" s="3" t="s">
        <v>2</v>
      </c>
      <c r="B862" s="4" t="s">
        <v>3</v>
      </c>
      <c r="C862" s="4" t="s">
        <v>0</v>
      </c>
      <c r="D862" s="4" t="s">
        <v>4</v>
      </c>
      <c r="E862" s="4" t="s">
        <v>5</v>
      </c>
      <c r="F862" s="5" t="s">
        <v>6</v>
      </c>
    </row>
    <row r="863" spans="1:6" x14ac:dyDescent="0.3">
      <c r="A863" s="6">
        <v>1</v>
      </c>
      <c r="B863" s="7">
        <v>2</v>
      </c>
      <c r="C863" s="7">
        <v>3</v>
      </c>
      <c r="D863" s="7">
        <v>4</v>
      </c>
      <c r="E863" s="7">
        <v>5</v>
      </c>
      <c r="F863" s="8">
        <v>6</v>
      </c>
    </row>
    <row r="864" spans="1:6" x14ac:dyDescent="0.3">
      <c r="A864" s="9" t="s">
        <v>1</v>
      </c>
      <c r="B864" s="10" t="s">
        <v>128</v>
      </c>
      <c r="C864" s="11"/>
      <c r="D864" s="11"/>
      <c r="E864" s="11"/>
      <c r="F864" s="12"/>
    </row>
    <row r="865" spans="1:6" x14ac:dyDescent="0.3">
      <c r="A865" s="13"/>
      <c r="B865" s="14" t="s">
        <v>129</v>
      </c>
      <c r="C865" s="15" t="s">
        <v>7</v>
      </c>
      <c r="D865" s="16">
        <v>0.01</v>
      </c>
      <c r="E865" s="17">
        <f>'HARGA BAHAN'!E4</f>
        <v>125000</v>
      </c>
      <c r="F865" s="18">
        <f>+D865*E865</f>
        <v>1250</v>
      </c>
    </row>
    <row r="866" spans="1:6" x14ac:dyDescent="0.3">
      <c r="A866" s="13"/>
      <c r="B866" s="19" t="s">
        <v>130</v>
      </c>
      <c r="C866" s="20" t="s">
        <v>7</v>
      </c>
      <c r="D866" s="21">
        <v>0.5</v>
      </c>
      <c r="E866" s="22">
        <f>'HARGA BAHAN'!E5</f>
        <v>160000</v>
      </c>
      <c r="F866" s="98">
        <f>+D866*E866</f>
        <v>80000</v>
      </c>
    </row>
    <row r="867" spans="1:6" x14ac:dyDescent="0.3">
      <c r="A867" s="13"/>
      <c r="B867" s="14" t="s">
        <v>131</v>
      </c>
      <c r="C867" s="15" t="s">
        <v>7</v>
      </c>
      <c r="D867" s="16">
        <v>0.05</v>
      </c>
      <c r="E867" s="22">
        <f>'HARGA BAHAN'!E6</f>
        <v>180000</v>
      </c>
      <c r="F867" s="18">
        <f>+D867*E867</f>
        <v>9000</v>
      </c>
    </row>
    <row r="868" spans="1:6" ht="17.25" thickBot="1" x14ac:dyDescent="0.35">
      <c r="A868" s="23"/>
      <c r="B868" s="24" t="s">
        <v>132</v>
      </c>
      <c r="C868" s="25" t="s">
        <v>7</v>
      </c>
      <c r="D868" s="26">
        <v>5.0000000000000001E-3</v>
      </c>
      <c r="E868" s="22">
        <f>'HARGA BAHAN'!E7</f>
        <v>175000</v>
      </c>
      <c r="F868" s="96">
        <f>+D868*E868</f>
        <v>875</v>
      </c>
    </row>
    <row r="869" spans="1:6" ht="17.25" thickBot="1" x14ac:dyDescent="0.35">
      <c r="A869" s="27"/>
      <c r="B869" s="28"/>
      <c r="C869" s="29"/>
      <c r="D869" s="30" t="s">
        <v>8</v>
      </c>
      <c r="E869" s="31"/>
      <c r="F869" s="32">
        <f>SUM(F865:F868)</f>
        <v>91125</v>
      </c>
    </row>
    <row r="870" spans="1:6" x14ac:dyDescent="0.3">
      <c r="A870" s="33" t="s">
        <v>9</v>
      </c>
      <c r="B870" s="34" t="s">
        <v>133</v>
      </c>
      <c r="C870" s="35"/>
      <c r="D870" s="35"/>
      <c r="E870" s="35"/>
      <c r="F870" s="36"/>
    </row>
    <row r="871" spans="1:6" x14ac:dyDescent="0.3">
      <c r="A871" s="37"/>
      <c r="B871" s="38" t="s">
        <v>239</v>
      </c>
      <c r="C871" s="39" t="s">
        <v>137</v>
      </c>
      <c r="D871" s="40">
        <v>1</v>
      </c>
      <c r="E871" s="41">
        <f>'HARGA BAHAN'!E130</f>
        <v>145000</v>
      </c>
      <c r="F871" s="42">
        <f>+D871*E871</f>
        <v>145000</v>
      </c>
    </row>
    <row r="872" spans="1:6" ht="17.25" thickBot="1" x14ac:dyDescent="0.35">
      <c r="A872" s="62"/>
      <c r="B872" s="63"/>
      <c r="C872" s="64"/>
      <c r="D872" s="65"/>
      <c r="E872" s="66"/>
      <c r="F872" s="104"/>
    </row>
    <row r="873" spans="1:6" ht="17.25" thickBot="1" x14ac:dyDescent="0.35">
      <c r="A873" s="27"/>
      <c r="B873" s="43"/>
      <c r="C873" s="43"/>
      <c r="D873" s="44" t="s">
        <v>10</v>
      </c>
      <c r="E873" s="43"/>
      <c r="F873" s="32">
        <f>SUM(F871:F872)</f>
        <v>145000</v>
      </c>
    </row>
    <row r="874" spans="1:6" ht="17.25" thickBot="1" x14ac:dyDescent="0.35">
      <c r="A874" s="33" t="s">
        <v>11</v>
      </c>
      <c r="B874" s="34" t="s">
        <v>138</v>
      </c>
      <c r="C874" s="35"/>
      <c r="D874" s="35"/>
      <c r="E874" s="35"/>
      <c r="F874" s="36"/>
    </row>
    <row r="875" spans="1:6" ht="17.25" thickBot="1" x14ac:dyDescent="0.35">
      <c r="A875" s="27"/>
      <c r="B875" s="28"/>
      <c r="C875" s="29"/>
      <c r="D875" s="30" t="s">
        <v>12</v>
      </c>
      <c r="E875" s="31"/>
      <c r="F875" s="32">
        <v>0</v>
      </c>
    </row>
    <row r="876" spans="1:6" x14ac:dyDescent="0.3">
      <c r="A876" s="33" t="s">
        <v>13</v>
      </c>
      <c r="B876" s="34" t="s">
        <v>14</v>
      </c>
      <c r="C876" s="51"/>
      <c r="D876" s="51"/>
      <c r="E876" s="52"/>
      <c r="F876" s="53">
        <f>+F869+F873+F875</f>
        <v>236125</v>
      </c>
    </row>
    <row r="877" spans="1:6" x14ac:dyDescent="0.3">
      <c r="A877" s="9" t="s">
        <v>15</v>
      </c>
      <c r="B877" s="10" t="s">
        <v>49</v>
      </c>
      <c r="C877" s="54"/>
      <c r="D877" s="54"/>
      <c r="E877" s="55"/>
      <c r="F877" s="56">
        <f>F876*0.15</f>
        <v>35418.75</v>
      </c>
    </row>
    <row r="878" spans="1:6" ht="17.25" thickBot="1" x14ac:dyDescent="0.35">
      <c r="A878" s="57" t="s">
        <v>16</v>
      </c>
      <c r="B878" s="58" t="s">
        <v>17</v>
      </c>
      <c r="C878" s="59"/>
      <c r="D878" s="59"/>
      <c r="E878" s="60"/>
      <c r="F878" s="61">
        <f>SUM(F876:F877)</f>
        <v>271543.75</v>
      </c>
    </row>
    <row r="879" spans="1:6" x14ac:dyDescent="0.3">
      <c r="A879" s="99"/>
      <c r="B879" s="1"/>
      <c r="C879" s="1"/>
      <c r="D879" s="1"/>
      <c r="E879" s="1"/>
      <c r="F879" s="286"/>
    </row>
    <row r="880" spans="1:6" ht="17.25" thickBot="1" x14ac:dyDescent="0.35">
      <c r="A880" s="70" t="s">
        <v>230</v>
      </c>
      <c r="B880" s="1" t="s">
        <v>231</v>
      </c>
      <c r="C880" s="2"/>
      <c r="D880" s="2"/>
      <c r="E880" s="2"/>
      <c r="F880" s="2"/>
    </row>
    <row r="881" spans="1:6" ht="26.25" thickBot="1" x14ac:dyDescent="0.35">
      <c r="A881" s="3" t="s">
        <v>2</v>
      </c>
      <c r="B881" s="4" t="s">
        <v>3</v>
      </c>
      <c r="C881" s="4" t="s">
        <v>0</v>
      </c>
      <c r="D881" s="4" t="s">
        <v>4</v>
      </c>
      <c r="E881" s="4" t="s">
        <v>5</v>
      </c>
      <c r="F881" s="5" t="s">
        <v>6</v>
      </c>
    </row>
    <row r="882" spans="1:6" x14ac:dyDescent="0.3">
      <c r="A882" s="6">
        <v>1</v>
      </c>
      <c r="B882" s="7">
        <v>2</v>
      </c>
      <c r="C882" s="7">
        <v>3</v>
      </c>
      <c r="D882" s="7">
        <v>4</v>
      </c>
      <c r="E882" s="7">
        <v>5</v>
      </c>
      <c r="F882" s="8">
        <v>6</v>
      </c>
    </row>
    <row r="883" spans="1:6" x14ac:dyDescent="0.3">
      <c r="A883" s="9" t="s">
        <v>1</v>
      </c>
      <c r="B883" s="10" t="s">
        <v>128</v>
      </c>
      <c r="C883" s="11"/>
      <c r="D883" s="11"/>
      <c r="E883" s="11"/>
      <c r="F883" s="12"/>
    </row>
    <row r="884" spans="1:6" x14ac:dyDescent="0.3">
      <c r="A884" s="13"/>
      <c r="B884" s="14" t="s">
        <v>129</v>
      </c>
      <c r="C884" s="15" t="s">
        <v>7</v>
      </c>
      <c r="D884" s="16">
        <v>1.4999999999999999E-2</v>
      </c>
      <c r="E884" s="17">
        <f>'HARGA BAHAN'!E4</f>
        <v>125000</v>
      </c>
      <c r="F884" s="18">
        <f>+D884*E884</f>
        <v>1875</v>
      </c>
    </row>
    <row r="885" spans="1:6" x14ac:dyDescent="0.3">
      <c r="A885" s="13"/>
      <c r="B885" s="19" t="s">
        <v>130</v>
      </c>
      <c r="C885" s="20" t="s">
        <v>7</v>
      </c>
      <c r="D885" s="21">
        <v>0.15</v>
      </c>
      <c r="E885" s="22">
        <f>'HARGA BAHAN'!E5</f>
        <v>160000</v>
      </c>
      <c r="F885" s="98">
        <f>+D885*E885</f>
        <v>24000</v>
      </c>
    </row>
    <row r="886" spans="1:6" x14ac:dyDescent="0.3">
      <c r="A886" s="13"/>
      <c r="B886" s="14" t="s">
        <v>131</v>
      </c>
      <c r="C886" s="15" t="s">
        <v>7</v>
      </c>
      <c r="D886" s="16">
        <v>1.4999999999999999E-2</v>
      </c>
      <c r="E886" s="22">
        <f>'HARGA BAHAN'!E6</f>
        <v>180000</v>
      </c>
      <c r="F886" s="18">
        <f>+D886*E886</f>
        <v>2700</v>
      </c>
    </row>
    <row r="887" spans="1:6" ht="17.25" thickBot="1" x14ac:dyDescent="0.35">
      <c r="A887" s="23"/>
      <c r="B887" s="24" t="s">
        <v>132</v>
      </c>
      <c r="C887" s="25" t="s">
        <v>7</v>
      </c>
      <c r="D887" s="69">
        <v>8.0000000000000004E-4</v>
      </c>
      <c r="E887" s="22">
        <f>'HARGA BAHAN'!E7</f>
        <v>175000</v>
      </c>
      <c r="F887" s="96">
        <f>+D887*E887</f>
        <v>140</v>
      </c>
    </row>
    <row r="888" spans="1:6" ht="17.25" thickBot="1" x14ac:dyDescent="0.35">
      <c r="A888" s="27"/>
      <c r="B888" s="28"/>
      <c r="C888" s="29"/>
      <c r="D888" s="30" t="s">
        <v>8</v>
      </c>
      <c r="E888" s="31"/>
      <c r="F888" s="32">
        <f>SUM(F884:F887)</f>
        <v>28715</v>
      </c>
    </row>
    <row r="889" spans="1:6" x14ac:dyDescent="0.3">
      <c r="A889" s="33" t="s">
        <v>9</v>
      </c>
      <c r="B889" s="34" t="s">
        <v>133</v>
      </c>
      <c r="C889" s="35"/>
      <c r="D889" s="35"/>
      <c r="E889" s="35"/>
      <c r="F889" s="36"/>
    </row>
    <row r="890" spans="1:6" x14ac:dyDescent="0.3">
      <c r="A890" s="37"/>
      <c r="B890" s="38" t="s">
        <v>232</v>
      </c>
      <c r="C890" s="39" t="s">
        <v>137</v>
      </c>
      <c r="D890" s="40">
        <v>1</v>
      </c>
      <c r="E890" s="41">
        <f>'HARGA BAHAN'!E129</f>
        <v>42000</v>
      </c>
      <c r="F890" s="42">
        <f>+D890*E890</f>
        <v>42000</v>
      </c>
    </row>
    <row r="891" spans="1:6" ht="17.25" thickBot="1" x14ac:dyDescent="0.35">
      <c r="A891" s="62"/>
      <c r="B891" s="63"/>
      <c r="C891" s="64"/>
      <c r="D891" s="65"/>
      <c r="E891" s="66"/>
      <c r="F891" s="104"/>
    </row>
    <row r="892" spans="1:6" ht="17.25" thickBot="1" x14ac:dyDescent="0.35">
      <c r="A892" s="27"/>
      <c r="B892" s="43"/>
      <c r="C892" s="43"/>
      <c r="D892" s="44" t="s">
        <v>10</v>
      </c>
      <c r="E892" s="43"/>
      <c r="F892" s="32">
        <f>SUM(F890:F891)</f>
        <v>42000</v>
      </c>
    </row>
    <row r="893" spans="1:6" x14ac:dyDescent="0.3">
      <c r="A893" s="33" t="s">
        <v>11</v>
      </c>
      <c r="B893" s="34" t="s">
        <v>138</v>
      </c>
      <c r="C893" s="35"/>
      <c r="D893" s="35"/>
      <c r="E893" s="35"/>
      <c r="F893" s="36"/>
    </row>
    <row r="894" spans="1:6" ht="17.25" thickBot="1" x14ac:dyDescent="0.35">
      <c r="A894" s="45"/>
      <c r="B894" s="46"/>
      <c r="C894" s="47"/>
      <c r="D894" s="48"/>
      <c r="E894" s="49"/>
      <c r="F894" s="50"/>
    </row>
    <row r="895" spans="1:6" ht="17.25" thickBot="1" x14ac:dyDescent="0.35">
      <c r="A895" s="27"/>
      <c r="B895" s="28"/>
      <c r="C895" s="29"/>
      <c r="D895" s="30" t="s">
        <v>12</v>
      </c>
      <c r="E895" s="31"/>
      <c r="F895" s="32">
        <f>SUM(F894)</f>
        <v>0</v>
      </c>
    </row>
    <row r="896" spans="1:6" x14ac:dyDescent="0.3">
      <c r="A896" s="33" t="s">
        <v>13</v>
      </c>
      <c r="B896" s="34" t="s">
        <v>14</v>
      </c>
      <c r="C896" s="51"/>
      <c r="D896" s="51"/>
      <c r="E896" s="52"/>
      <c r="F896" s="53">
        <f>+F888+F892+F895</f>
        <v>70715</v>
      </c>
    </row>
    <row r="897" spans="1:6" x14ac:dyDescent="0.3">
      <c r="A897" s="9" t="s">
        <v>15</v>
      </c>
      <c r="B897" s="10" t="s">
        <v>49</v>
      </c>
      <c r="C897" s="54"/>
      <c r="D897" s="54"/>
      <c r="E897" s="55"/>
      <c r="F897" s="56">
        <f>F896*0.15</f>
        <v>10607.25</v>
      </c>
    </row>
    <row r="898" spans="1:6" ht="17.25" thickBot="1" x14ac:dyDescent="0.35">
      <c r="A898" s="57" t="s">
        <v>16</v>
      </c>
      <c r="B898" s="58" t="s">
        <v>17</v>
      </c>
      <c r="C898" s="59"/>
      <c r="D898" s="59"/>
      <c r="E898" s="60"/>
      <c r="F898" s="61">
        <f>SUM(F896:F897)</f>
        <v>81322.25</v>
      </c>
    </row>
    <row r="899" spans="1:6" x14ac:dyDescent="0.3">
      <c r="A899" s="99"/>
      <c r="B899" s="1"/>
      <c r="C899" s="1"/>
      <c r="D899" s="1"/>
      <c r="E899" s="1"/>
      <c r="F899" s="286"/>
    </row>
    <row r="900" spans="1:6" ht="17.25" thickBot="1" x14ac:dyDescent="0.35">
      <c r="A900" s="70" t="s">
        <v>64</v>
      </c>
      <c r="B900" s="1" t="s">
        <v>116</v>
      </c>
      <c r="C900" s="2"/>
      <c r="D900" s="2"/>
      <c r="E900" s="2"/>
      <c r="F900" s="2"/>
    </row>
    <row r="901" spans="1:6" ht="26.25" thickBot="1" x14ac:dyDescent="0.35">
      <c r="A901" s="3" t="s">
        <v>2</v>
      </c>
      <c r="B901" s="4" t="s">
        <v>3</v>
      </c>
      <c r="C901" s="4" t="s">
        <v>0</v>
      </c>
      <c r="D901" s="4" t="s">
        <v>4</v>
      </c>
      <c r="E901" s="4" t="s">
        <v>5</v>
      </c>
      <c r="F901" s="5" t="s">
        <v>6</v>
      </c>
    </row>
    <row r="902" spans="1:6" x14ac:dyDescent="0.3">
      <c r="A902" s="6">
        <v>1</v>
      </c>
      <c r="B902" s="7">
        <v>2</v>
      </c>
      <c r="C902" s="7">
        <v>3</v>
      </c>
      <c r="D902" s="7">
        <v>4</v>
      </c>
      <c r="E902" s="7">
        <v>5</v>
      </c>
      <c r="F902" s="8">
        <v>6</v>
      </c>
    </row>
    <row r="903" spans="1:6" x14ac:dyDescent="0.3">
      <c r="A903" s="9" t="s">
        <v>1</v>
      </c>
      <c r="B903" s="10" t="s">
        <v>69</v>
      </c>
      <c r="C903" s="11"/>
      <c r="D903" s="11"/>
      <c r="E903" s="11"/>
      <c r="F903" s="12"/>
    </row>
    <row r="904" spans="1:6" x14ac:dyDescent="0.3">
      <c r="A904" s="13"/>
      <c r="B904" s="14" t="s">
        <v>38</v>
      </c>
      <c r="C904" s="15" t="s">
        <v>7</v>
      </c>
      <c r="D904" s="16">
        <v>0.02</v>
      </c>
      <c r="E904" s="17">
        <f>'HARGA BAHAN'!E4</f>
        <v>125000</v>
      </c>
      <c r="F904" s="18">
        <f>+D904*E904</f>
        <v>2500</v>
      </c>
    </row>
    <row r="905" spans="1:6" x14ac:dyDescent="0.3">
      <c r="A905" s="13"/>
      <c r="B905" s="19" t="s">
        <v>78</v>
      </c>
      <c r="C905" s="20" t="s">
        <v>7</v>
      </c>
      <c r="D905" s="21">
        <v>6.3E-2</v>
      </c>
      <c r="E905" s="17">
        <f>'HARGA BAHAN'!E5</f>
        <v>160000</v>
      </c>
      <c r="F905" s="18">
        <f>+D905*E905</f>
        <v>10080</v>
      </c>
    </row>
    <row r="906" spans="1:6" x14ac:dyDescent="0.3">
      <c r="A906" s="13"/>
      <c r="B906" s="14" t="s">
        <v>79</v>
      </c>
      <c r="C906" s="15" t="s">
        <v>7</v>
      </c>
      <c r="D906" s="68">
        <v>6.3E-3</v>
      </c>
      <c r="E906" s="17">
        <f>'HARGA BAHAN'!E6</f>
        <v>180000</v>
      </c>
      <c r="F906" s="18">
        <f>+D906*E906</f>
        <v>1134</v>
      </c>
    </row>
    <row r="907" spans="1:6" ht="17.25" thickBot="1" x14ac:dyDescent="0.35">
      <c r="A907" s="23"/>
      <c r="B907" s="24" t="s">
        <v>40</v>
      </c>
      <c r="C907" s="25" t="s">
        <v>7</v>
      </c>
      <c r="D907" s="26">
        <v>3.0000000000000001E-3</v>
      </c>
      <c r="E907" s="17">
        <f>'HARGA BAHAN'!E7</f>
        <v>175000</v>
      </c>
      <c r="F907" s="18">
        <f>+D907*E907</f>
        <v>525</v>
      </c>
    </row>
    <row r="908" spans="1:6" ht="17.25" thickBot="1" x14ac:dyDescent="0.35">
      <c r="A908" s="27"/>
      <c r="B908" s="28"/>
      <c r="C908" s="29"/>
      <c r="D908" s="30" t="s">
        <v>8</v>
      </c>
      <c r="E908" s="31"/>
      <c r="F908" s="32">
        <f>SUM(F904:F907)</f>
        <v>14239</v>
      </c>
    </row>
    <row r="909" spans="1:6" x14ac:dyDescent="0.3">
      <c r="A909" s="33" t="s">
        <v>9</v>
      </c>
      <c r="B909" s="34" t="s">
        <v>70</v>
      </c>
      <c r="C909" s="35"/>
      <c r="D909" s="35"/>
      <c r="E909" s="35"/>
      <c r="F909" s="36"/>
    </row>
    <row r="910" spans="1:6" x14ac:dyDescent="0.3">
      <c r="A910" s="37"/>
      <c r="B910" s="38" t="s">
        <v>52</v>
      </c>
      <c r="C910" s="39" t="s">
        <v>19</v>
      </c>
      <c r="D910" s="40">
        <v>0.1</v>
      </c>
      <c r="E910" s="41">
        <f>'HARGA BAHAN'!E86</f>
        <v>30000</v>
      </c>
      <c r="F910" s="18">
        <f>+D910*E910</f>
        <v>3000</v>
      </c>
    </row>
    <row r="911" spans="1:6" x14ac:dyDescent="0.3">
      <c r="A911" s="62"/>
      <c r="B911" s="63" t="s">
        <v>32</v>
      </c>
      <c r="C911" s="64" t="s">
        <v>19</v>
      </c>
      <c r="D911" s="65">
        <v>0.1</v>
      </c>
      <c r="E911" s="66">
        <f>'HARGA BAHAN'!E88</f>
        <v>42000</v>
      </c>
      <c r="F911" s="18">
        <f>+D911*E911</f>
        <v>4200</v>
      </c>
    </row>
    <row r="912" spans="1:6" ht="17.25" thickBot="1" x14ac:dyDescent="0.35">
      <c r="A912" s="62"/>
      <c r="B912" s="63" t="s">
        <v>53</v>
      </c>
      <c r="C912" s="64" t="s">
        <v>19</v>
      </c>
      <c r="D912" s="65">
        <v>0.26</v>
      </c>
      <c r="E912" s="66">
        <f>'HARGA BAHAN'!E89</f>
        <v>40000</v>
      </c>
      <c r="F912" s="18">
        <f>+D912*E912</f>
        <v>10400</v>
      </c>
    </row>
    <row r="913" spans="1:6" ht="17.25" thickBot="1" x14ac:dyDescent="0.35">
      <c r="A913" s="27"/>
      <c r="B913" s="43"/>
      <c r="C913" s="43"/>
      <c r="D913" s="44" t="s">
        <v>10</v>
      </c>
      <c r="E913" s="43"/>
      <c r="F913" s="32">
        <f>SUM(F910:F912)</f>
        <v>17600</v>
      </c>
    </row>
    <row r="914" spans="1:6" x14ac:dyDescent="0.3">
      <c r="A914" s="33" t="s">
        <v>11</v>
      </c>
      <c r="B914" s="34" t="s">
        <v>71</v>
      </c>
      <c r="C914" s="35"/>
      <c r="D914" s="35"/>
      <c r="E914" s="35"/>
      <c r="F914" s="36"/>
    </row>
    <row r="915" spans="1:6" ht="17.25" thickBot="1" x14ac:dyDescent="0.35">
      <c r="A915" s="45"/>
      <c r="B915" s="46"/>
      <c r="C915" s="47"/>
      <c r="D915" s="48"/>
      <c r="E915" s="49"/>
      <c r="F915" s="50"/>
    </row>
    <row r="916" spans="1:6" ht="17.25" thickBot="1" x14ac:dyDescent="0.35">
      <c r="A916" s="27"/>
      <c r="B916" s="28"/>
      <c r="C916" s="29"/>
      <c r="D916" s="30" t="s">
        <v>12</v>
      </c>
      <c r="E916" s="31"/>
      <c r="F916" s="32">
        <f>SUM(F915)</f>
        <v>0</v>
      </c>
    </row>
    <row r="917" spans="1:6" x14ac:dyDescent="0.3">
      <c r="A917" s="33" t="s">
        <v>13</v>
      </c>
      <c r="B917" s="34" t="s">
        <v>14</v>
      </c>
      <c r="C917" s="51"/>
      <c r="D917" s="51"/>
      <c r="E917" s="52"/>
      <c r="F917" s="53">
        <f>+F908+F913+F916</f>
        <v>31839</v>
      </c>
    </row>
    <row r="918" spans="1:6" x14ac:dyDescent="0.3">
      <c r="A918" s="9" t="s">
        <v>15</v>
      </c>
      <c r="B918" s="10" t="s">
        <v>49</v>
      </c>
      <c r="C918" s="54"/>
      <c r="D918" s="54"/>
      <c r="E918" s="55"/>
      <c r="F918" s="56">
        <f>F917*15%</f>
        <v>4775.8499999999995</v>
      </c>
    </row>
    <row r="919" spans="1:6" ht="17.25" thickBot="1" x14ac:dyDescent="0.35">
      <c r="A919" s="57" t="s">
        <v>16</v>
      </c>
      <c r="B919" s="58" t="s">
        <v>17</v>
      </c>
      <c r="C919" s="59"/>
      <c r="D919" s="59"/>
      <c r="E919" s="60"/>
      <c r="F919" s="61">
        <f>SUM(F917:F918)</f>
        <v>36614.85</v>
      </c>
    </row>
    <row r="921" spans="1:6" ht="17.25" thickBot="1" x14ac:dyDescent="0.35">
      <c r="A921" s="70" t="s">
        <v>275</v>
      </c>
      <c r="B921" s="1" t="s">
        <v>276</v>
      </c>
      <c r="C921" s="2"/>
      <c r="D921" s="2"/>
      <c r="E921" s="2"/>
      <c r="F921" s="2"/>
    </row>
    <row r="922" spans="1:6" ht="26.25" thickBot="1" x14ac:dyDescent="0.35">
      <c r="A922" s="3" t="s">
        <v>2</v>
      </c>
      <c r="B922" s="4" t="s">
        <v>3</v>
      </c>
      <c r="C922" s="4" t="s">
        <v>0</v>
      </c>
      <c r="D922" s="4" t="s">
        <v>4</v>
      </c>
      <c r="E922" s="4" t="s">
        <v>5</v>
      </c>
      <c r="F922" s="5" t="s">
        <v>6</v>
      </c>
    </row>
    <row r="923" spans="1:6" x14ac:dyDescent="0.3">
      <c r="A923" s="6">
        <v>1</v>
      </c>
      <c r="B923" s="7">
        <v>2</v>
      </c>
      <c r="C923" s="7">
        <v>3</v>
      </c>
      <c r="D923" s="7">
        <v>4</v>
      </c>
      <c r="E923" s="7">
        <v>5</v>
      </c>
      <c r="F923" s="8">
        <v>6</v>
      </c>
    </row>
    <row r="924" spans="1:6" x14ac:dyDescent="0.3">
      <c r="A924" s="9" t="s">
        <v>1</v>
      </c>
      <c r="B924" s="10" t="s">
        <v>69</v>
      </c>
      <c r="C924" s="11"/>
      <c r="D924" s="11"/>
      <c r="E924" s="11"/>
      <c r="F924" s="12"/>
    </row>
    <row r="925" spans="1:6" x14ac:dyDescent="0.3">
      <c r="A925" s="13"/>
      <c r="B925" s="14" t="s">
        <v>38</v>
      </c>
      <c r="C925" s="15" t="s">
        <v>7</v>
      </c>
      <c r="D925" s="16">
        <v>2.8000000000000001E-2</v>
      </c>
      <c r="E925" s="17">
        <f>'HARGA BAHAN'!E4</f>
        <v>125000</v>
      </c>
      <c r="F925" s="18">
        <f>+D925*E925</f>
        <v>3500</v>
      </c>
    </row>
    <row r="926" spans="1:6" x14ac:dyDescent="0.3">
      <c r="A926" s="13"/>
      <c r="B926" s="19" t="s">
        <v>78</v>
      </c>
      <c r="C926" s="20" t="s">
        <v>7</v>
      </c>
      <c r="D926" s="21">
        <v>4.2000000000000003E-2</v>
      </c>
      <c r="E926" s="17">
        <f>'HARGA BAHAN'!E5</f>
        <v>160000</v>
      </c>
      <c r="F926" s="18">
        <f>+D926*E926</f>
        <v>6720</v>
      </c>
    </row>
    <row r="927" spans="1:6" x14ac:dyDescent="0.3">
      <c r="A927" s="13"/>
      <c r="B927" s="14" t="s">
        <v>79</v>
      </c>
      <c r="C927" s="15" t="s">
        <v>7</v>
      </c>
      <c r="D927" s="68">
        <v>4.1999999999999997E-3</v>
      </c>
      <c r="E927" s="17">
        <f>'HARGA BAHAN'!E6</f>
        <v>180000</v>
      </c>
      <c r="F927" s="18">
        <f>+D927*E927</f>
        <v>756</v>
      </c>
    </row>
    <row r="928" spans="1:6" ht="17.25" thickBot="1" x14ac:dyDescent="0.35">
      <c r="A928" s="23"/>
      <c r="B928" s="24" t="s">
        <v>40</v>
      </c>
      <c r="C928" s="25" t="s">
        <v>7</v>
      </c>
      <c r="D928" s="26">
        <v>3.0000000000000001E-3</v>
      </c>
      <c r="E928" s="17">
        <f>'HARGA BAHAN'!E7</f>
        <v>175000</v>
      </c>
      <c r="F928" s="18">
        <f>+D928*E928</f>
        <v>525</v>
      </c>
    </row>
    <row r="929" spans="1:6" ht="17.25" thickBot="1" x14ac:dyDescent="0.35">
      <c r="A929" s="27"/>
      <c r="B929" s="28"/>
      <c r="C929" s="29"/>
      <c r="D929" s="30" t="s">
        <v>8</v>
      </c>
      <c r="E929" s="31"/>
      <c r="F929" s="32">
        <f>SUM(F925:F928)</f>
        <v>11501</v>
      </c>
    </row>
    <row r="930" spans="1:6" x14ac:dyDescent="0.3">
      <c r="A930" s="33" t="s">
        <v>9</v>
      </c>
      <c r="B930" s="34" t="s">
        <v>70</v>
      </c>
      <c r="C930" s="35"/>
      <c r="D930" s="35"/>
      <c r="E930" s="35"/>
      <c r="F930" s="36"/>
    </row>
    <row r="931" spans="1:6" x14ac:dyDescent="0.3">
      <c r="A931" s="62"/>
      <c r="B931" s="63" t="s">
        <v>32</v>
      </c>
      <c r="C931" s="64" t="s">
        <v>19</v>
      </c>
      <c r="D931" s="65">
        <v>0.12</v>
      </c>
      <c r="E931" s="66">
        <f>'HARGA BAHAN'!E88</f>
        <v>42000</v>
      </c>
      <c r="F931" s="18">
        <f>+D931*E931</f>
        <v>5040</v>
      </c>
    </row>
    <row r="932" spans="1:6" ht="17.25" thickBot="1" x14ac:dyDescent="0.35">
      <c r="A932" s="62"/>
      <c r="B932" s="63" t="s">
        <v>277</v>
      </c>
      <c r="C932" s="64" t="s">
        <v>19</v>
      </c>
      <c r="D932" s="65">
        <v>0.18</v>
      </c>
      <c r="E932" s="66">
        <f>'HARGA BAHAN'!E89</f>
        <v>40000</v>
      </c>
      <c r="F932" s="18">
        <f>+D932*E932</f>
        <v>7200</v>
      </c>
    </row>
    <row r="933" spans="1:6" ht="17.25" thickBot="1" x14ac:dyDescent="0.35">
      <c r="A933" s="27"/>
      <c r="B933" s="43"/>
      <c r="C933" s="43"/>
      <c r="D933" s="44" t="s">
        <v>10</v>
      </c>
      <c r="E933" s="43"/>
      <c r="F933" s="32">
        <f>SUM(F931:F932)</f>
        <v>12240</v>
      </c>
    </row>
    <row r="934" spans="1:6" x14ac:dyDescent="0.3">
      <c r="A934" s="33" t="s">
        <v>11</v>
      </c>
      <c r="B934" s="34" t="s">
        <v>71</v>
      </c>
      <c r="C934" s="35"/>
      <c r="D934" s="35"/>
      <c r="E934" s="35"/>
      <c r="F934" s="36"/>
    </row>
    <row r="935" spans="1:6" ht="17.25" thickBot="1" x14ac:dyDescent="0.35">
      <c r="A935" s="45"/>
      <c r="B935" s="46"/>
      <c r="C935" s="47"/>
      <c r="D935" s="48"/>
      <c r="E935" s="49"/>
      <c r="F935" s="50"/>
    </row>
    <row r="936" spans="1:6" ht="17.25" thickBot="1" x14ac:dyDescent="0.35">
      <c r="A936" s="27"/>
      <c r="B936" s="28"/>
      <c r="C936" s="29"/>
      <c r="D936" s="30" t="s">
        <v>12</v>
      </c>
      <c r="E936" s="31"/>
      <c r="F936" s="32">
        <f>SUM(F935)</f>
        <v>0</v>
      </c>
    </row>
    <row r="937" spans="1:6" x14ac:dyDescent="0.3">
      <c r="A937" s="33" t="s">
        <v>13</v>
      </c>
      <c r="B937" s="34" t="s">
        <v>14</v>
      </c>
      <c r="C937" s="51"/>
      <c r="D937" s="51"/>
      <c r="E937" s="52"/>
      <c r="F937" s="53">
        <f>+F929+F933+F936</f>
        <v>23741</v>
      </c>
    </row>
    <row r="938" spans="1:6" x14ac:dyDescent="0.3">
      <c r="A938" s="9" t="s">
        <v>15</v>
      </c>
      <c r="B938" s="10" t="s">
        <v>49</v>
      </c>
      <c r="C938" s="54"/>
      <c r="D938" s="54"/>
      <c r="E938" s="55"/>
      <c r="F938" s="56">
        <f>F937*15%</f>
        <v>3561.15</v>
      </c>
    </row>
    <row r="939" spans="1:6" ht="17.25" thickBot="1" x14ac:dyDescent="0.35">
      <c r="A939" s="57" t="s">
        <v>16</v>
      </c>
      <c r="B939" s="58" t="s">
        <v>17</v>
      </c>
      <c r="C939" s="59"/>
      <c r="D939" s="59"/>
      <c r="E939" s="60"/>
      <c r="F939" s="61">
        <f>SUM(F937:F938)</f>
        <v>27302.15</v>
      </c>
    </row>
    <row r="941" spans="1:6" ht="17.25" thickBot="1" x14ac:dyDescent="0.35">
      <c r="A941" s="70" t="s">
        <v>240</v>
      </c>
      <c r="B941" s="1" t="s">
        <v>241</v>
      </c>
      <c r="C941" s="2"/>
      <c r="D941" s="2"/>
      <c r="E941" s="2"/>
      <c r="F941" s="2"/>
    </row>
    <row r="942" spans="1:6" ht="26.25" thickBot="1" x14ac:dyDescent="0.35">
      <c r="A942" s="3" t="s">
        <v>2</v>
      </c>
      <c r="B942" s="4" t="s">
        <v>3</v>
      </c>
      <c r="C942" s="4" t="s">
        <v>0</v>
      </c>
      <c r="D942" s="4" t="s">
        <v>4</v>
      </c>
      <c r="E942" s="4" t="s">
        <v>5</v>
      </c>
      <c r="F942" s="5" t="s">
        <v>6</v>
      </c>
    </row>
    <row r="943" spans="1:6" x14ac:dyDescent="0.3">
      <c r="A943" s="6">
        <v>1</v>
      </c>
      <c r="B943" s="7">
        <v>2</v>
      </c>
      <c r="C943" s="7">
        <v>3</v>
      </c>
      <c r="D943" s="7">
        <v>4</v>
      </c>
      <c r="E943" s="7">
        <v>5</v>
      </c>
      <c r="F943" s="8">
        <v>6</v>
      </c>
    </row>
    <row r="944" spans="1:6" x14ac:dyDescent="0.3">
      <c r="A944" s="9" t="s">
        <v>1</v>
      </c>
      <c r="B944" s="10" t="s">
        <v>128</v>
      </c>
      <c r="C944" s="11"/>
      <c r="D944" s="11"/>
      <c r="E944" s="11"/>
      <c r="F944" s="12"/>
    </row>
    <row r="945" spans="1:6" x14ac:dyDescent="0.3">
      <c r="A945" s="13"/>
      <c r="B945" s="14" t="s">
        <v>129</v>
      </c>
      <c r="C945" s="15" t="s">
        <v>7</v>
      </c>
      <c r="D945" s="16">
        <v>7.0000000000000007E-2</v>
      </c>
      <c r="E945" s="17">
        <f>'HARGA BAHAN'!E4</f>
        <v>125000</v>
      </c>
      <c r="F945" s="18">
        <f>+D945*E945</f>
        <v>8750</v>
      </c>
    </row>
    <row r="946" spans="1:6" x14ac:dyDescent="0.3">
      <c r="A946" s="13"/>
      <c r="B946" s="19" t="s">
        <v>242</v>
      </c>
      <c r="C946" s="20" t="s">
        <v>7</v>
      </c>
      <c r="D946" s="21">
        <v>0.09</v>
      </c>
      <c r="E946" s="22">
        <f>'HARGA BAHAN'!E5</f>
        <v>160000</v>
      </c>
      <c r="F946" s="98">
        <f>+D946*E946</f>
        <v>14400</v>
      </c>
    </row>
    <row r="947" spans="1:6" x14ac:dyDescent="0.3">
      <c r="A947" s="13"/>
      <c r="B947" s="14" t="s">
        <v>131</v>
      </c>
      <c r="C947" s="15" t="s">
        <v>7</v>
      </c>
      <c r="D947" s="16">
        <v>6.0000000000000001E-3</v>
      </c>
      <c r="E947" s="22">
        <f>'HARGA BAHAN'!E6</f>
        <v>180000</v>
      </c>
      <c r="F947" s="18">
        <f>+D947*E947</f>
        <v>1080</v>
      </c>
    </row>
    <row r="948" spans="1:6" ht="17.25" thickBot="1" x14ac:dyDescent="0.35">
      <c r="A948" s="23"/>
      <c r="B948" s="24" t="s">
        <v>132</v>
      </c>
      <c r="C948" s="25" t="s">
        <v>7</v>
      </c>
      <c r="D948" s="69">
        <v>3.0000000000000001E-3</v>
      </c>
      <c r="E948" s="22">
        <f>'HARGA BAHAN'!E7</f>
        <v>175000</v>
      </c>
      <c r="F948" s="96">
        <f>+D948*E948</f>
        <v>525</v>
      </c>
    </row>
    <row r="949" spans="1:6" ht="17.25" thickBot="1" x14ac:dyDescent="0.35">
      <c r="A949" s="27"/>
      <c r="B949" s="28"/>
      <c r="C949" s="29"/>
      <c r="D949" s="30" t="s">
        <v>8</v>
      </c>
      <c r="E949" s="31"/>
      <c r="F949" s="32">
        <f>SUM(F945:F948)</f>
        <v>24755</v>
      </c>
    </row>
    <row r="950" spans="1:6" x14ac:dyDescent="0.3">
      <c r="A950" s="33" t="s">
        <v>9</v>
      </c>
      <c r="B950" s="34" t="s">
        <v>133</v>
      </c>
      <c r="C950" s="35"/>
      <c r="D950" s="35"/>
      <c r="E950" s="35"/>
      <c r="F950" s="36"/>
    </row>
    <row r="951" spans="1:6" x14ac:dyDescent="0.3">
      <c r="A951" s="45"/>
      <c r="B951" s="46" t="s">
        <v>243</v>
      </c>
      <c r="C951" s="47" t="s">
        <v>186</v>
      </c>
      <c r="D951" s="48">
        <v>0.2</v>
      </c>
      <c r="E951" s="49">
        <f>'HARGA BAHAN'!E87</f>
        <v>62000</v>
      </c>
      <c r="F951" s="50">
        <f t="shared" ref="F951:F957" si="17">+D951*E951</f>
        <v>12400</v>
      </c>
    </row>
    <row r="952" spans="1:6" x14ac:dyDescent="0.3">
      <c r="A952" s="13"/>
      <c r="B952" s="14" t="s">
        <v>244</v>
      </c>
      <c r="C952" s="15" t="s">
        <v>186</v>
      </c>
      <c r="D952" s="16">
        <v>0.15</v>
      </c>
      <c r="E952" s="17">
        <f>'HARGA BAHAN'!E86</f>
        <v>30000</v>
      </c>
      <c r="F952" s="18">
        <f t="shared" si="17"/>
        <v>4500</v>
      </c>
    </row>
    <row r="953" spans="1:6" x14ac:dyDescent="0.3">
      <c r="A953" s="13"/>
      <c r="B953" s="14" t="s">
        <v>245</v>
      </c>
      <c r="C953" s="15" t="s">
        <v>186</v>
      </c>
      <c r="D953" s="16">
        <v>0.17</v>
      </c>
      <c r="E953" s="17">
        <f>'HARGA BAHAN'!E88</f>
        <v>42000</v>
      </c>
      <c r="F953" s="18">
        <f t="shared" si="17"/>
        <v>7140.0000000000009</v>
      </c>
    </row>
    <row r="954" spans="1:6" x14ac:dyDescent="0.3">
      <c r="A954" s="13"/>
      <c r="B954" s="14" t="s">
        <v>251</v>
      </c>
      <c r="C954" s="15" t="s">
        <v>186</v>
      </c>
      <c r="D954" s="16">
        <v>0.26</v>
      </c>
      <c r="E954" s="17">
        <f>'HARGA BAHAN'!E90</f>
        <v>85000</v>
      </c>
      <c r="F954" s="18">
        <f t="shared" si="17"/>
        <v>22100</v>
      </c>
    </row>
    <row r="955" spans="1:6" x14ac:dyDescent="0.3">
      <c r="A955" s="13"/>
      <c r="B955" s="14" t="s">
        <v>253</v>
      </c>
      <c r="C955" s="15" t="s">
        <v>186</v>
      </c>
      <c r="D955" s="16">
        <v>0.01</v>
      </c>
      <c r="E955" s="17">
        <f>'HARGA BAHAN'!E94</f>
        <v>35000</v>
      </c>
      <c r="F955" s="18">
        <f t="shared" si="17"/>
        <v>350</v>
      </c>
    </row>
    <row r="956" spans="1:6" x14ac:dyDescent="0.3">
      <c r="A956" s="13"/>
      <c r="B956" s="14" t="s">
        <v>246</v>
      </c>
      <c r="C956" s="15" t="s">
        <v>247</v>
      </c>
      <c r="D956" s="16">
        <v>0.03</v>
      </c>
      <c r="E956" s="17">
        <f>'HARGA BAHAN'!E91</f>
        <v>30000</v>
      </c>
      <c r="F956" s="18">
        <f t="shared" si="17"/>
        <v>900</v>
      </c>
    </row>
    <row r="957" spans="1:6" ht="17.25" thickBot="1" x14ac:dyDescent="0.35">
      <c r="A957" s="13"/>
      <c r="B957" s="14" t="s">
        <v>248</v>
      </c>
      <c r="C957" s="15" t="s">
        <v>211</v>
      </c>
      <c r="D957" s="16">
        <v>0.2</v>
      </c>
      <c r="E957" s="17">
        <f>'HARGA BAHAN'!E95</f>
        <v>5000</v>
      </c>
      <c r="F957" s="18">
        <f t="shared" si="17"/>
        <v>1000</v>
      </c>
    </row>
    <row r="958" spans="1:6" ht="17.25" thickBot="1" x14ac:dyDescent="0.35">
      <c r="A958" s="27"/>
      <c r="B958" s="43"/>
      <c r="C958" s="43"/>
      <c r="D958" s="44" t="s">
        <v>10</v>
      </c>
      <c r="E958" s="43"/>
      <c r="F958" s="32">
        <f>SUM(F951:F957)</f>
        <v>48390</v>
      </c>
    </row>
    <row r="959" spans="1:6" ht="17.25" thickBot="1" x14ac:dyDescent="0.35">
      <c r="A959" s="33" t="s">
        <v>11</v>
      </c>
      <c r="B959" s="34" t="s">
        <v>138</v>
      </c>
      <c r="C959" s="35"/>
      <c r="D959" s="35"/>
      <c r="E959" s="35"/>
      <c r="F959" s="36"/>
    </row>
    <row r="960" spans="1:6" ht="17.25" thickBot="1" x14ac:dyDescent="0.35">
      <c r="A960" s="27"/>
      <c r="B960" s="28"/>
      <c r="C960" s="29"/>
      <c r="D960" s="30" t="s">
        <v>12</v>
      </c>
      <c r="E960" s="31"/>
      <c r="F960" s="32">
        <v>0</v>
      </c>
    </row>
    <row r="961" spans="1:6" x14ac:dyDescent="0.3">
      <c r="A961" s="33" t="s">
        <v>13</v>
      </c>
      <c r="B961" s="34" t="s">
        <v>14</v>
      </c>
      <c r="C961" s="51"/>
      <c r="D961" s="51"/>
      <c r="E961" s="52"/>
      <c r="F961" s="53">
        <f>+F949+F958+F960</f>
        <v>73145</v>
      </c>
    </row>
    <row r="962" spans="1:6" x14ac:dyDescent="0.3">
      <c r="A962" s="9" t="s">
        <v>15</v>
      </c>
      <c r="B962" s="10" t="s">
        <v>249</v>
      </c>
      <c r="C962" s="54"/>
      <c r="D962" s="54"/>
      <c r="E962" s="55"/>
      <c r="F962" s="56">
        <v>0</v>
      </c>
    </row>
    <row r="963" spans="1:6" ht="17.25" thickBot="1" x14ac:dyDescent="0.35">
      <c r="A963" s="57" t="s">
        <v>16</v>
      </c>
      <c r="B963" s="58" t="s">
        <v>17</v>
      </c>
      <c r="C963" s="59"/>
      <c r="D963" s="59"/>
      <c r="E963" s="60"/>
      <c r="F963" s="61">
        <f>SUM(F961:F962)</f>
        <v>73145</v>
      </c>
    </row>
    <row r="965" spans="1:6" ht="17.25" thickBot="1" x14ac:dyDescent="0.35">
      <c r="A965" s="70" t="s">
        <v>65</v>
      </c>
      <c r="B965" s="1" t="s">
        <v>117</v>
      </c>
      <c r="C965" s="2"/>
      <c r="D965" s="2"/>
      <c r="E965" s="2"/>
      <c r="F965" s="2"/>
    </row>
    <row r="966" spans="1:6" ht="26.25" thickBot="1" x14ac:dyDescent="0.35">
      <c r="A966" s="3" t="s">
        <v>2</v>
      </c>
      <c r="B966" s="4" t="s">
        <v>3</v>
      </c>
      <c r="C966" s="4" t="s">
        <v>0</v>
      </c>
      <c r="D966" s="4" t="s">
        <v>4</v>
      </c>
      <c r="E966" s="4" t="s">
        <v>5</v>
      </c>
      <c r="F966" s="5" t="s">
        <v>6</v>
      </c>
    </row>
    <row r="967" spans="1:6" x14ac:dyDescent="0.3">
      <c r="A967" s="6">
        <v>1</v>
      </c>
      <c r="B967" s="7">
        <v>2</v>
      </c>
      <c r="C967" s="7">
        <v>3</v>
      </c>
      <c r="D967" s="7">
        <v>4</v>
      </c>
      <c r="E967" s="7">
        <v>5</v>
      </c>
      <c r="F967" s="8">
        <v>6</v>
      </c>
    </row>
    <row r="968" spans="1:6" x14ac:dyDescent="0.3">
      <c r="A968" s="9" t="s">
        <v>1</v>
      </c>
      <c r="B968" s="10" t="s">
        <v>69</v>
      </c>
      <c r="C968" s="11"/>
      <c r="D968" s="11"/>
      <c r="E968" s="11"/>
      <c r="F968" s="12"/>
    </row>
    <row r="969" spans="1:6" x14ac:dyDescent="0.3">
      <c r="A969" s="13"/>
      <c r="B969" s="14" t="s">
        <v>38</v>
      </c>
      <c r="C969" s="15" t="s">
        <v>7</v>
      </c>
      <c r="D969" s="16">
        <v>1.4999999999999999E-2</v>
      </c>
      <c r="E969" s="17">
        <f>'HARGA BAHAN'!E4</f>
        <v>125000</v>
      </c>
      <c r="F969" s="18">
        <f>+D969*E969</f>
        <v>1875</v>
      </c>
    </row>
    <row r="970" spans="1:6" x14ac:dyDescent="0.3">
      <c r="A970" s="13"/>
      <c r="B970" s="19" t="s">
        <v>78</v>
      </c>
      <c r="C970" s="20" t="s">
        <v>7</v>
      </c>
      <c r="D970" s="21">
        <v>0.15</v>
      </c>
      <c r="E970" s="17">
        <f>'HARGA BAHAN'!E5</f>
        <v>160000</v>
      </c>
      <c r="F970" s="18">
        <f>+D970*E970</f>
        <v>24000</v>
      </c>
    </row>
    <row r="971" spans="1:6" x14ac:dyDescent="0.3">
      <c r="A971" s="13"/>
      <c r="B971" s="14" t="s">
        <v>79</v>
      </c>
      <c r="C971" s="15" t="s">
        <v>7</v>
      </c>
      <c r="D971" s="16">
        <v>1.4999999999999999E-2</v>
      </c>
      <c r="E971" s="17">
        <f>'HARGA BAHAN'!E6</f>
        <v>180000</v>
      </c>
      <c r="F971" s="18">
        <f>+D971*E971</f>
        <v>2700</v>
      </c>
    </row>
    <row r="972" spans="1:6" ht="17.25" thickBot="1" x14ac:dyDescent="0.35">
      <c r="A972" s="23"/>
      <c r="B972" s="24" t="s">
        <v>40</v>
      </c>
      <c r="C972" s="25" t="s">
        <v>7</v>
      </c>
      <c r="D972" s="69">
        <v>8.0000000000000004E-4</v>
      </c>
      <c r="E972" s="17">
        <f>'HARGA BAHAN'!E7</f>
        <v>175000</v>
      </c>
      <c r="F972" s="18">
        <f>+D972*E972</f>
        <v>140</v>
      </c>
    </row>
    <row r="973" spans="1:6" ht="17.25" thickBot="1" x14ac:dyDescent="0.35">
      <c r="A973" s="27"/>
      <c r="B973" s="28"/>
      <c r="C973" s="29"/>
      <c r="D973" s="30" t="s">
        <v>8</v>
      </c>
      <c r="E973" s="31"/>
      <c r="F973" s="32">
        <f>SUM(F969:F972)</f>
        <v>28715</v>
      </c>
    </row>
    <row r="974" spans="1:6" x14ac:dyDescent="0.3">
      <c r="A974" s="33" t="s">
        <v>9</v>
      </c>
      <c r="B974" s="34" t="s">
        <v>70</v>
      </c>
      <c r="C974" s="35"/>
      <c r="D974" s="35"/>
      <c r="E974" s="35"/>
      <c r="F974" s="36"/>
    </row>
    <row r="975" spans="1:6" x14ac:dyDescent="0.3">
      <c r="A975" s="37"/>
      <c r="B975" s="38" t="s">
        <v>118</v>
      </c>
      <c r="C975" s="39" t="s">
        <v>34</v>
      </c>
      <c r="D975" s="40">
        <v>1.1000000000000001</v>
      </c>
      <c r="E975" s="41">
        <f>'HARGA BAHAN'!E97</f>
        <v>155000</v>
      </c>
      <c r="F975" s="18">
        <f>+D975*E975</f>
        <v>170500</v>
      </c>
    </row>
    <row r="976" spans="1:6" ht="17.25" thickBot="1" x14ac:dyDescent="0.35">
      <c r="A976" s="62"/>
      <c r="B976" s="63" t="s">
        <v>119</v>
      </c>
      <c r="C976" s="64" t="s">
        <v>19</v>
      </c>
      <c r="D976" s="65">
        <v>0.1</v>
      </c>
      <c r="E976" s="66">
        <f>'HARGA BAHAN'!E98</f>
        <v>150000</v>
      </c>
      <c r="F976" s="18">
        <f>+D976*E976</f>
        <v>15000</v>
      </c>
    </row>
    <row r="977" spans="1:6" ht="17.25" thickBot="1" x14ac:dyDescent="0.35">
      <c r="A977" s="27"/>
      <c r="B977" s="43"/>
      <c r="C977" s="43"/>
      <c r="D977" s="44" t="s">
        <v>10</v>
      </c>
      <c r="E977" s="43"/>
      <c r="F977" s="32">
        <f>SUM(F975:F976)</f>
        <v>185500</v>
      </c>
    </row>
    <row r="978" spans="1:6" x14ac:dyDescent="0.3">
      <c r="A978" s="33" t="s">
        <v>11</v>
      </c>
      <c r="B978" s="34" t="s">
        <v>71</v>
      </c>
      <c r="C978" s="35"/>
      <c r="D978" s="35"/>
      <c r="E978" s="35"/>
      <c r="F978" s="36"/>
    </row>
    <row r="979" spans="1:6" ht="17.25" thickBot="1" x14ac:dyDescent="0.35">
      <c r="A979" s="45"/>
      <c r="B979" s="46"/>
      <c r="C979" s="47"/>
      <c r="D979" s="48"/>
      <c r="E979" s="49"/>
      <c r="F979" s="50"/>
    </row>
    <row r="980" spans="1:6" ht="17.25" thickBot="1" x14ac:dyDescent="0.35">
      <c r="A980" s="27"/>
      <c r="B980" s="28"/>
      <c r="C980" s="29"/>
      <c r="D980" s="30" t="s">
        <v>12</v>
      </c>
      <c r="E980" s="31"/>
      <c r="F980" s="32">
        <f>SUM(F979)</f>
        <v>0</v>
      </c>
    </row>
    <row r="981" spans="1:6" x14ac:dyDescent="0.3">
      <c r="A981" s="33" t="s">
        <v>13</v>
      </c>
      <c r="B981" s="34" t="s">
        <v>14</v>
      </c>
      <c r="C981" s="51"/>
      <c r="D981" s="51"/>
      <c r="E981" s="52"/>
      <c r="F981" s="53">
        <f>+F973+F977+F980</f>
        <v>214215</v>
      </c>
    </row>
    <row r="982" spans="1:6" x14ac:dyDescent="0.3">
      <c r="A982" s="9" t="s">
        <v>15</v>
      </c>
      <c r="B982" s="10" t="s">
        <v>49</v>
      </c>
      <c r="C982" s="54"/>
      <c r="D982" s="54"/>
      <c r="E982" s="55"/>
      <c r="F982" s="56">
        <f>F981*15%</f>
        <v>32132.25</v>
      </c>
    </row>
    <row r="983" spans="1:6" ht="17.25" thickBot="1" x14ac:dyDescent="0.35">
      <c r="A983" s="57" t="s">
        <v>16</v>
      </c>
      <c r="B983" s="58" t="s">
        <v>17</v>
      </c>
      <c r="C983" s="59"/>
      <c r="D983" s="59"/>
      <c r="E983" s="60"/>
      <c r="F983" s="61">
        <f>SUM(F981:F982)</f>
        <v>246347.25</v>
      </c>
    </row>
    <row r="985" spans="1:6" ht="17.25" thickBot="1" x14ac:dyDescent="0.35">
      <c r="A985" s="70" t="s">
        <v>260</v>
      </c>
      <c r="B985" s="1" t="s">
        <v>261</v>
      </c>
      <c r="C985" s="2"/>
      <c r="D985" s="2"/>
      <c r="E985" s="2"/>
      <c r="F985" s="2"/>
    </row>
    <row r="986" spans="1:6" ht="26.25" thickBot="1" x14ac:dyDescent="0.35">
      <c r="A986" s="3" t="s">
        <v>2</v>
      </c>
      <c r="B986" s="4" t="s">
        <v>3</v>
      </c>
      <c r="C986" s="4" t="s">
        <v>0</v>
      </c>
      <c r="D986" s="4" t="s">
        <v>4</v>
      </c>
      <c r="E986" s="4" t="s">
        <v>5</v>
      </c>
      <c r="F986" s="5" t="s">
        <v>6</v>
      </c>
    </row>
    <row r="987" spans="1:6" x14ac:dyDescent="0.3">
      <c r="A987" s="6">
        <v>1</v>
      </c>
      <c r="B987" s="7">
        <v>2</v>
      </c>
      <c r="C987" s="7">
        <v>3</v>
      </c>
      <c r="D987" s="7">
        <v>4</v>
      </c>
      <c r="E987" s="7">
        <v>5</v>
      </c>
      <c r="F987" s="8">
        <v>6</v>
      </c>
    </row>
    <row r="988" spans="1:6" x14ac:dyDescent="0.3">
      <c r="A988" s="9" t="s">
        <v>1</v>
      </c>
      <c r="B988" s="10" t="s">
        <v>128</v>
      </c>
      <c r="C988" s="11"/>
      <c r="D988" s="11"/>
      <c r="E988" s="11"/>
      <c r="F988" s="12"/>
    </row>
    <row r="989" spans="1:6" x14ac:dyDescent="0.3">
      <c r="A989" s="13"/>
      <c r="B989" s="14" t="s">
        <v>129</v>
      </c>
      <c r="C989" s="15" t="s">
        <v>7</v>
      </c>
      <c r="D989" s="16">
        <v>0.15</v>
      </c>
      <c r="E989" s="17">
        <f>'HARGA BAHAN'!E4</f>
        <v>125000</v>
      </c>
      <c r="F989" s="18">
        <f t="shared" ref="F989:F990" si="18">+D989*E989</f>
        <v>18750</v>
      </c>
    </row>
    <row r="990" spans="1:6" ht="17.25" thickBot="1" x14ac:dyDescent="0.35">
      <c r="A990" s="23"/>
      <c r="B990" s="24" t="s">
        <v>132</v>
      </c>
      <c r="C990" s="25" t="s">
        <v>7</v>
      </c>
      <c r="D990" s="26">
        <v>3.0000000000000001E-3</v>
      </c>
      <c r="E990" s="17">
        <f>'HARGA BAHAN'!E7</f>
        <v>175000</v>
      </c>
      <c r="F990" s="96">
        <f t="shared" si="18"/>
        <v>525</v>
      </c>
    </row>
    <row r="991" spans="1:6" ht="17.25" thickBot="1" x14ac:dyDescent="0.35">
      <c r="A991" s="27"/>
      <c r="B991" s="28"/>
      <c r="C991" s="29"/>
      <c r="D991" s="30" t="s">
        <v>8</v>
      </c>
      <c r="E991" s="31"/>
      <c r="F991" s="32">
        <f>SUM(F989:F990)</f>
        <v>19275</v>
      </c>
    </row>
    <row r="992" spans="1:6" x14ac:dyDescent="0.3">
      <c r="A992" s="33" t="s">
        <v>9</v>
      </c>
      <c r="B992" s="34" t="s">
        <v>133</v>
      </c>
      <c r="C992" s="35"/>
      <c r="D992" s="35"/>
      <c r="E992" s="35"/>
      <c r="F992" s="36"/>
    </row>
    <row r="993" spans="1:6" x14ac:dyDescent="0.3">
      <c r="A993" s="67"/>
      <c r="B993" s="19" t="s">
        <v>262</v>
      </c>
      <c r="C993" s="20" t="s">
        <v>19</v>
      </c>
      <c r="D993" s="21">
        <v>0.05</v>
      </c>
      <c r="E993" s="22">
        <f>'HARGA BAHAN'!E99</f>
        <v>85000</v>
      </c>
      <c r="F993" s="42">
        <f t="shared" ref="F993" si="19">+D993*E993</f>
        <v>4250</v>
      </c>
    </row>
    <row r="994" spans="1:6" ht="17.25" thickBot="1" x14ac:dyDescent="0.35">
      <c r="A994" s="67"/>
      <c r="B994" s="19"/>
      <c r="C994" s="20"/>
      <c r="D994" s="21"/>
      <c r="E994" s="22"/>
      <c r="F994" s="42"/>
    </row>
    <row r="995" spans="1:6" ht="17.25" thickBot="1" x14ac:dyDescent="0.35">
      <c r="A995" s="27"/>
      <c r="B995" s="43"/>
      <c r="C995" s="43"/>
      <c r="D995" s="44" t="s">
        <v>10</v>
      </c>
      <c r="E995" s="43"/>
      <c r="F995" s="32">
        <f>SUM(F993:F994)</f>
        <v>4250</v>
      </c>
    </row>
    <row r="996" spans="1:6" x14ac:dyDescent="0.3">
      <c r="A996" s="33" t="s">
        <v>11</v>
      </c>
      <c r="B996" s="34" t="s">
        <v>138</v>
      </c>
      <c r="C996" s="35"/>
      <c r="D996" s="35"/>
      <c r="E996" s="35"/>
      <c r="F996" s="36"/>
    </row>
    <row r="997" spans="1:6" ht="17.25" thickBot="1" x14ac:dyDescent="0.35">
      <c r="A997" s="45"/>
      <c r="B997" s="46"/>
      <c r="C997" s="47"/>
      <c r="D997" s="48"/>
      <c r="E997" s="49"/>
      <c r="F997" s="50"/>
    </row>
    <row r="998" spans="1:6" ht="17.25" thickBot="1" x14ac:dyDescent="0.35">
      <c r="A998" s="27"/>
      <c r="B998" s="28"/>
      <c r="C998" s="29"/>
      <c r="D998" s="30" t="s">
        <v>12</v>
      </c>
      <c r="E998" s="31"/>
      <c r="F998" s="32">
        <f>SUM(F997)</f>
        <v>0</v>
      </c>
    </row>
    <row r="999" spans="1:6" x14ac:dyDescent="0.3">
      <c r="A999" s="33" t="s">
        <v>13</v>
      </c>
      <c r="B999" s="34" t="s">
        <v>14</v>
      </c>
      <c r="C999" s="51"/>
      <c r="D999" s="51"/>
      <c r="E999" s="52"/>
      <c r="F999" s="53">
        <f>+F991+F995+F998</f>
        <v>23525</v>
      </c>
    </row>
    <row r="1000" spans="1:6" x14ac:dyDescent="0.3">
      <c r="A1000" s="9" t="s">
        <v>15</v>
      </c>
      <c r="B1000" s="10" t="s">
        <v>49</v>
      </c>
      <c r="C1000" s="54"/>
      <c r="D1000" s="54"/>
      <c r="E1000" s="55"/>
      <c r="F1000" s="56">
        <f>F999*15%</f>
        <v>3528.75</v>
      </c>
    </row>
    <row r="1001" spans="1:6" ht="17.25" thickBot="1" x14ac:dyDescent="0.35">
      <c r="A1001" s="57" t="s">
        <v>16</v>
      </c>
      <c r="B1001" s="58" t="s">
        <v>17</v>
      </c>
      <c r="C1001" s="59"/>
      <c r="D1001" s="59"/>
      <c r="E1001" s="60"/>
      <c r="F1001" s="61">
        <f>SUM(F999:F1000)</f>
        <v>27053.75</v>
      </c>
    </row>
    <row r="1003" spans="1:6" ht="17.25" thickBot="1" x14ac:dyDescent="0.35">
      <c r="A1003" s="70" t="s">
        <v>127</v>
      </c>
      <c r="B1003" s="1" t="s">
        <v>142</v>
      </c>
      <c r="C1003" s="2"/>
      <c r="D1003" s="2"/>
      <c r="E1003" s="2"/>
      <c r="F1003" s="2"/>
    </row>
    <row r="1004" spans="1:6" ht="26.25" thickBot="1" x14ac:dyDescent="0.35">
      <c r="A1004" s="3" t="s">
        <v>2</v>
      </c>
      <c r="B1004" s="4" t="s">
        <v>3</v>
      </c>
      <c r="C1004" s="4" t="s">
        <v>0</v>
      </c>
      <c r="D1004" s="4" t="s">
        <v>4</v>
      </c>
      <c r="E1004" s="4" t="s">
        <v>5</v>
      </c>
      <c r="F1004" s="5" t="s">
        <v>6</v>
      </c>
    </row>
    <row r="1005" spans="1:6" x14ac:dyDescent="0.3">
      <c r="A1005" s="6">
        <v>1</v>
      </c>
      <c r="B1005" s="7">
        <v>2</v>
      </c>
      <c r="C1005" s="7">
        <v>3</v>
      </c>
      <c r="D1005" s="7">
        <v>4</v>
      </c>
      <c r="E1005" s="7">
        <v>5</v>
      </c>
      <c r="F1005" s="8">
        <v>6</v>
      </c>
    </row>
    <row r="1006" spans="1:6" x14ac:dyDescent="0.3">
      <c r="A1006" s="9" t="s">
        <v>1</v>
      </c>
      <c r="B1006" s="10" t="s">
        <v>128</v>
      </c>
      <c r="C1006" s="11"/>
      <c r="D1006" s="11"/>
      <c r="E1006" s="11"/>
      <c r="F1006" s="12"/>
    </row>
    <row r="1007" spans="1:6" x14ac:dyDescent="0.3">
      <c r="A1007" s="13"/>
      <c r="B1007" s="14" t="s">
        <v>129</v>
      </c>
      <c r="C1007" s="15" t="s">
        <v>7</v>
      </c>
      <c r="D1007" s="16">
        <v>0.38300000000000001</v>
      </c>
      <c r="E1007" s="17">
        <f>'HARGA BAHAN'!E4</f>
        <v>125000</v>
      </c>
      <c r="F1007" s="18">
        <f>+D1007*E1007</f>
        <v>47875</v>
      </c>
    </row>
    <row r="1008" spans="1:6" x14ac:dyDescent="0.3">
      <c r="A1008" s="13"/>
      <c r="B1008" s="19" t="s">
        <v>130</v>
      </c>
      <c r="C1008" s="20" t="s">
        <v>7</v>
      </c>
      <c r="D1008" s="21">
        <v>0.38300000000000001</v>
      </c>
      <c r="E1008" s="17">
        <f>'HARGA BAHAN'!E5</f>
        <v>160000</v>
      </c>
      <c r="F1008" s="18">
        <f t="shared" ref="F1008:F1010" si="20">+D1008*E1008</f>
        <v>61280</v>
      </c>
    </row>
    <row r="1009" spans="1:6" x14ac:dyDescent="0.3">
      <c r="A1009" s="13"/>
      <c r="B1009" s="14" t="s">
        <v>131</v>
      </c>
      <c r="C1009" s="15" t="s">
        <v>7</v>
      </c>
      <c r="D1009" s="16">
        <v>3.7999999999999999E-2</v>
      </c>
      <c r="E1009" s="17">
        <f>'HARGA BAHAN'!E6</f>
        <v>180000</v>
      </c>
      <c r="F1009" s="18">
        <f t="shared" si="20"/>
        <v>6840</v>
      </c>
    </row>
    <row r="1010" spans="1:6" ht="17.25" thickBot="1" x14ac:dyDescent="0.35">
      <c r="A1010" s="23"/>
      <c r="B1010" s="24" t="s">
        <v>132</v>
      </c>
      <c r="C1010" s="25" t="s">
        <v>7</v>
      </c>
      <c r="D1010" s="26">
        <v>1.9E-2</v>
      </c>
      <c r="E1010" s="17">
        <f>'HARGA BAHAN'!E7</f>
        <v>175000</v>
      </c>
      <c r="F1010" s="18">
        <f t="shared" si="20"/>
        <v>3325</v>
      </c>
    </row>
    <row r="1011" spans="1:6" ht="17.25" thickBot="1" x14ac:dyDescent="0.35">
      <c r="A1011" s="27"/>
      <c r="B1011" s="28"/>
      <c r="C1011" s="29"/>
      <c r="D1011" s="30" t="s">
        <v>8</v>
      </c>
      <c r="E1011" s="31"/>
      <c r="F1011" s="32">
        <f>SUM(F1007:F1010)</f>
        <v>119320</v>
      </c>
    </row>
    <row r="1012" spans="1:6" x14ac:dyDescent="0.3">
      <c r="A1012" s="33" t="s">
        <v>9</v>
      </c>
      <c r="B1012" s="34" t="s">
        <v>133</v>
      </c>
      <c r="C1012" s="35"/>
      <c r="D1012" s="35"/>
      <c r="E1012" s="35"/>
      <c r="F1012" s="36"/>
    </row>
    <row r="1013" spans="1:6" x14ac:dyDescent="0.3">
      <c r="A1013" s="37"/>
      <c r="B1013" s="38" t="s">
        <v>134</v>
      </c>
      <c r="C1013" s="39" t="s">
        <v>135</v>
      </c>
      <c r="D1013" s="40">
        <v>36.67</v>
      </c>
      <c r="E1013" s="41">
        <f>'HARGA BAHAN'!E110</f>
        <v>12000</v>
      </c>
      <c r="F1013" s="42">
        <f t="shared" ref="F1013:F1014" si="21">+D1013*E1013</f>
        <v>440040</v>
      </c>
    </row>
    <row r="1014" spans="1:6" ht="17.25" thickBot="1" x14ac:dyDescent="0.35">
      <c r="A1014" s="62"/>
      <c r="B1014" s="63" t="s">
        <v>136</v>
      </c>
      <c r="C1014" s="64" t="s">
        <v>137</v>
      </c>
      <c r="D1014" s="65">
        <v>216</v>
      </c>
      <c r="E1014" s="80">
        <f>'HARGA BAHAN'!E112</f>
        <v>500</v>
      </c>
      <c r="F1014" s="71">
        <f t="shared" si="21"/>
        <v>108000</v>
      </c>
    </row>
    <row r="1015" spans="1:6" ht="17.25" thickBot="1" x14ac:dyDescent="0.35">
      <c r="A1015" s="27"/>
      <c r="B1015" s="43"/>
      <c r="C1015" s="43"/>
      <c r="D1015" s="44" t="s">
        <v>10</v>
      </c>
      <c r="E1015" s="43"/>
      <c r="F1015" s="32">
        <f>SUM(F1013:F1014)</f>
        <v>548040</v>
      </c>
    </row>
    <row r="1016" spans="1:6" x14ac:dyDescent="0.3">
      <c r="A1016" s="33" t="s">
        <v>11</v>
      </c>
      <c r="B1016" s="34" t="s">
        <v>138</v>
      </c>
      <c r="C1016" s="35"/>
      <c r="D1016" s="35"/>
      <c r="E1016" s="35"/>
      <c r="F1016" s="36"/>
    </row>
    <row r="1017" spans="1:6" ht="17.25" thickBot="1" x14ac:dyDescent="0.35">
      <c r="A1017" s="45"/>
      <c r="B1017" s="46"/>
      <c r="C1017" s="47"/>
      <c r="D1017" s="48"/>
      <c r="E1017" s="49"/>
      <c r="F1017" s="50"/>
    </row>
    <row r="1018" spans="1:6" ht="17.25" thickBot="1" x14ac:dyDescent="0.35">
      <c r="A1018" s="27"/>
      <c r="B1018" s="28"/>
      <c r="C1018" s="29"/>
      <c r="D1018" s="30" t="s">
        <v>12</v>
      </c>
      <c r="E1018" s="31"/>
      <c r="F1018" s="32">
        <f>SUM(F1017)</f>
        <v>0</v>
      </c>
    </row>
    <row r="1019" spans="1:6" x14ac:dyDescent="0.3">
      <c r="A1019" s="33" t="s">
        <v>13</v>
      </c>
      <c r="B1019" s="34" t="s">
        <v>14</v>
      </c>
      <c r="C1019" s="51"/>
      <c r="D1019" s="51"/>
      <c r="E1019" s="52"/>
      <c r="F1019" s="53">
        <f>+F1011+F1015+F1018</f>
        <v>667360</v>
      </c>
    </row>
    <row r="1020" spans="1:6" x14ac:dyDescent="0.3">
      <c r="A1020" s="9" t="s">
        <v>15</v>
      </c>
      <c r="B1020" s="10" t="s">
        <v>49</v>
      </c>
      <c r="C1020" s="54"/>
      <c r="D1020" s="54"/>
      <c r="E1020" s="55"/>
      <c r="F1020" s="56">
        <f>F1019*15%</f>
        <v>100104</v>
      </c>
    </row>
    <row r="1021" spans="1:6" x14ac:dyDescent="0.3">
      <c r="A1021" s="9" t="s">
        <v>16</v>
      </c>
      <c r="B1021" s="10" t="s">
        <v>17</v>
      </c>
      <c r="C1021" s="54"/>
      <c r="D1021" s="54"/>
      <c r="E1021" s="55"/>
      <c r="F1021" s="56">
        <f>SUM(F1019:F1020)</f>
        <v>767464</v>
      </c>
    </row>
    <row r="1022" spans="1:6" ht="17.25" thickBot="1" x14ac:dyDescent="0.35">
      <c r="A1022" s="87"/>
      <c r="B1022" s="88" t="s">
        <v>139</v>
      </c>
      <c r="C1022" s="89"/>
      <c r="D1022" s="89"/>
      <c r="E1022" s="90"/>
      <c r="F1022" s="91">
        <f>+F1021/10</f>
        <v>76746.399999999994</v>
      </c>
    </row>
    <row r="1024" spans="1:6" ht="17.25" thickBot="1" x14ac:dyDescent="0.35">
      <c r="A1024" s="70" t="s">
        <v>263</v>
      </c>
      <c r="B1024" s="1" t="s">
        <v>264</v>
      </c>
      <c r="C1024" s="2"/>
      <c r="D1024" s="2"/>
      <c r="E1024" s="2"/>
      <c r="F1024" s="2"/>
    </row>
    <row r="1025" spans="1:6" ht="26.25" thickBot="1" x14ac:dyDescent="0.35">
      <c r="A1025" s="3" t="s">
        <v>2</v>
      </c>
      <c r="B1025" s="4" t="s">
        <v>3</v>
      </c>
      <c r="C1025" s="4" t="s">
        <v>0</v>
      </c>
      <c r="D1025" s="4" t="s">
        <v>4</v>
      </c>
      <c r="E1025" s="4" t="s">
        <v>5</v>
      </c>
      <c r="F1025" s="5" t="s">
        <v>6</v>
      </c>
    </row>
    <row r="1026" spans="1:6" x14ac:dyDescent="0.3">
      <c r="A1026" s="6">
        <v>1</v>
      </c>
      <c r="B1026" s="7">
        <v>2</v>
      </c>
      <c r="C1026" s="7">
        <v>3</v>
      </c>
      <c r="D1026" s="7">
        <v>4</v>
      </c>
      <c r="E1026" s="7">
        <v>5</v>
      </c>
      <c r="F1026" s="8">
        <v>6</v>
      </c>
    </row>
    <row r="1027" spans="1:6" x14ac:dyDescent="0.3">
      <c r="A1027" s="9" t="s">
        <v>1</v>
      </c>
      <c r="B1027" s="10" t="s">
        <v>69</v>
      </c>
      <c r="C1027" s="11"/>
      <c r="D1027" s="11"/>
      <c r="E1027" s="11"/>
      <c r="F1027" s="12"/>
    </row>
    <row r="1028" spans="1:6" x14ac:dyDescent="0.3">
      <c r="A1028" s="13"/>
      <c r="B1028" s="14" t="s">
        <v>38</v>
      </c>
      <c r="C1028" s="15" t="s">
        <v>7</v>
      </c>
      <c r="D1028" s="16">
        <v>0.01</v>
      </c>
      <c r="E1028" s="17">
        <f>'HARGA BAHAN'!E4</f>
        <v>125000</v>
      </c>
      <c r="F1028" s="18">
        <f>+D1028*E1028</f>
        <v>1250</v>
      </c>
    </row>
    <row r="1029" spans="1:6" x14ac:dyDescent="0.3">
      <c r="A1029" s="13"/>
      <c r="B1029" s="19" t="s">
        <v>78</v>
      </c>
      <c r="C1029" s="20" t="s">
        <v>7</v>
      </c>
      <c r="D1029" s="21">
        <v>0.4</v>
      </c>
      <c r="E1029" s="17">
        <f>'HARGA BAHAN'!E5</f>
        <v>160000</v>
      </c>
      <c r="F1029" s="18">
        <f>+D1029*E1029</f>
        <v>64000</v>
      </c>
    </row>
    <row r="1030" spans="1:6" x14ac:dyDescent="0.3">
      <c r="A1030" s="13"/>
      <c r="B1030" s="14" t="s">
        <v>79</v>
      </c>
      <c r="C1030" s="15" t="s">
        <v>7</v>
      </c>
      <c r="D1030" s="16">
        <v>0.04</v>
      </c>
      <c r="E1030" s="17">
        <f>'HARGA BAHAN'!E6</f>
        <v>180000</v>
      </c>
      <c r="F1030" s="18">
        <f>+D1030*E1030</f>
        <v>7200</v>
      </c>
    </row>
    <row r="1031" spans="1:6" ht="17.25" thickBot="1" x14ac:dyDescent="0.35">
      <c r="A1031" s="23"/>
      <c r="B1031" s="24" t="s">
        <v>40</v>
      </c>
      <c r="C1031" s="25" t="s">
        <v>7</v>
      </c>
      <c r="D1031" s="26">
        <v>5.0000000000000001E-3</v>
      </c>
      <c r="E1031" s="17">
        <f>'HARGA BAHAN'!E7</f>
        <v>175000</v>
      </c>
      <c r="F1031" s="18">
        <f>+D1031*E1031</f>
        <v>875</v>
      </c>
    </row>
    <row r="1032" spans="1:6" ht="17.25" thickBot="1" x14ac:dyDescent="0.35">
      <c r="A1032" s="27"/>
      <c r="B1032" s="28"/>
      <c r="C1032" s="29"/>
      <c r="D1032" s="30" t="s">
        <v>8</v>
      </c>
      <c r="E1032" s="31"/>
      <c r="F1032" s="32">
        <f>SUM(F1028:F1031)</f>
        <v>73325</v>
      </c>
    </row>
    <row r="1033" spans="1:6" x14ac:dyDescent="0.3">
      <c r="A1033" s="33" t="s">
        <v>9</v>
      </c>
      <c r="B1033" s="34" t="s">
        <v>70</v>
      </c>
      <c r="C1033" s="35"/>
      <c r="D1033" s="35"/>
      <c r="E1033" s="35"/>
      <c r="F1033" s="36"/>
    </row>
    <row r="1034" spans="1:6" x14ac:dyDescent="0.3">
      <c r="A1034" s="37"/>
      <c r="B1034" s="38" t="s">
        <v>265</v>
      </c>
      <c r="C1034" s="39" t="s">
        <v>137</v>
      </c>
      <c r="D1034" s="72">
        <v>1</v>
      </c>
      <c r="E1034" s="41">
        <f>'HARGA BAHAN'!E103</f>
        <v>55000</v>
      </c>
      <c r="F1034" s="42">
        <f>+D1034*E1034</f>
        <v>55000</v>
      </c>
    </row>
    <row r="1035" spans="1:6" ht="17.25" thickBot="1" x14ac:dyDescent="0.35">
      <c r="A1035" s="67"/>
      <c r="B1035" s="19" t="s">
        <v>266</v>
      </c>
      <c r="C1035" s="20" t="s">
        <v>18</v>
      </c>
      <c r="D1035" s="73">
        <v>2.5000000000000001E-2</v>
      </c>
      <c r="E1035" s="22">
        <f>'HARGA BAHAN'!E104</f>
        <v>7600</v>
      </c>
      <c r="F1035" s="18">
        <f>+D1035*E1035</f>
        <v>190</v>
      </c>
    </row>
    <row r="1036" spans="1:6" ht="17.25" thickBot="1" x14ac:dyDescent="0.35">
      <c r="A1036" s="27"/>
      <c r="B1036" s="43"/>
      <c r="C1036" s="43"/>
      <c r="D1036" s="44" t="s">
        <v>10</v>
      </c>
      <c r="E1036" s="43"/>
      <c r="F1036" s="32">
        <f>SUM(F1034:F1035)</f>
        <v>55190</v>
      </c>
    </row>
    <row r="1037" spans="1:6" x14ac:dyDescent="0.3">
      <c r="A1037" s="33" t="s">
        <v>11</v>
      </c>
      <c r="B1037" s="34" t="s">
        <v>71</v>
      </c>
      <c r="C1037" s="35"/>
      <c r="D1037" s="35"/>
      <c r="E1037" s="35"/>
      <c r="F1037" s="36"/>
    </row>
    <row r="1038" spans="1:6" ht="17.25" thickBot="1" x14ac:dyDescent="0.35">
      <c r="A1038" s="45"/>
      <c r="B1038" s="46"/>
      <c r="C1038" s="47"/>
      <c r="D1038" s="48"/>
      <c r="E1038" s="49"/>
      <c r="F1038" s="50"/>
    </row>
    <row r="1039" spans="1:6" ht="17.25" thickBot="1" x14ac:dyDescent="0.35">
      <c r="A1039" s="27"/>
      <c r="B1039" s="28"/>
      <c r="C1039" s="29"/>
      <c r="D1039" s="30" t="s">
        <v>12</v>
      </c>
      <c r="E1039" s="31"/>
      <c r="F1039" s="32">
        <f>SUM(F1038)</f>
        <v>0</v>
      </c>
    </row>
    <row r="1040" spans="1:6" x14ac:dyDescent="0.3">
      <c r="A1040" s="33" t="s">
        <v>13</v>
      </c>
      <c r="B1040" s="34" t="s">
        <v>14</v>
      </c>
      <c r="C1040" s="51"/>
      <c r="D1040" s="51"/>
      <c r="E1040" s="52"/>
      <c r="F1040" s="53">
        <f>+F1032+F1036+F1039</f>
        <v>128515</v>
      </c>
    </row>
    <row r="1041" spans="1:6" x14ac:dyDescent="0.3">
      <c r="A1041" s="9" t="s">
        <v>15</v>
      </c>
      <c r="B1041" s="10" t="s">
        <v>49</v>
      </c>
      <c r="C1041" s="54"/>
      <c r="D1041" s="54"/>
      <c r="E1041" s="55"/>
      <c r="F1041" s="56">
        <f>F1040*15%</f>
        <v>19277.25</v>
      </c>
    </row>
    <row r="1042" spans="1:6" ht="17.25" thickBot="1" x14ac:dyDescent="0.35">
      <c r="A1042" s="57" t="s">
        <v>16</v>
      </c>
      <c r="B1042" s="58" t="s">
        <v>17</v>
      </c>
      <c r="C1042" s="59"/>
      <c r="D1042" s="59"/>
      <c r="E1042" s="60"/>
      <c r="F1042" s="61">
        <f>SUM(F1040:F1041)</f>
        <v>147792.25</v>
      </c>
    </row>
    <row r="1044" spans="1:6" ht="17.25" thickBot="1" x14ac:dyDescent="0.35">
      <c r="A1044" s="70" t="s">
        <v>522</v>
      </c>
      <c r="B1044" s="1" t="s">
        <v>523</v>
      </c>
      <c r="C1044" s="2"/>
      <c r="D1044" s="2"/>
      <c r="E1044" s="2"/>
      <c r="F1044" s="2"/>
    </row>
    <row r="1045" spans="1:6" ht="26.25" thickBot="1" x14ac:dyDescent="0.35">
      <c r="A1045" s="3" t="s">
        <v>2</v>
      </c>
      <c r="B1045" s="4" t="s">
        <v>3</v>
      </c>
      <c r="C1045" s="4" t="s">
        <v>0</v>
      </c>
      <c r="D1045" s="4" t="s">
        <v>4</v>
      </c>
      <c r="E1045" s="4" t="s">
        <v>5</v>
      </c>
      <c r="F1045" s="5" t="s">
        <v>6</v>
      </c>
    </row>
    <row r="1046" spans="1:6" x14ac:dyDescent="0.3">
      <c r="A1046" s="6">
        <v>1</v>
      </c>
      <c r="B1046" s="7">
        <v>2</v>
      </c>
      <c r="C1046" s="7">
        <v>3</v>
      </c>
      <c r="D1046" s="7">
        <v>4</v>
      </c>
      <c r="E1046" s="7">
        <v>5</v>
      </c>
      <c r="F1046" s="8">
        <v>6</v>
      </c>
    </row>
    <row r="1047" spans="1:6" x14ac:dyDescent="0.3">
      <c r="A1047" s="9" t="s">
        <v>1</v>
      </c>
      <c r="B1047" s="10" t="s">
        <v>128</v>
      </c>
      <c r="C1047" s="11"/>
      <c r="D1047" s="11"/>
      <c r="E1047" s="11"/>
      <c r="F1047" s="12"/>
    </row>
    <row r="1048" spans="1:6" x14ac:dyDescent="0.3">
      <c r="A1048" s="13"/>
      <c r="B1048" s="14" t="s">
        <v>129</v>
      </c>
      <c r="C1048" s="15" t="s">
        <v>7</v>
      </c>
      <c r="D1048" s="68">
        <v>3.1E-2</v>
      </c>
      <c r="E1048" s="17">
        <f>'HARGA BAHAN'!E4</f>
        <v>125000</v>
      </c>
      <c r="F1048" s="18">
        <f t="shared" ref="F1048" si="22">+D1048*E1048</f>
        <v>3875</v>
      </c>
    </row>
    <row r="1049" spans="1:6" x14ac:dyDescent="0.3">
      <c r="A1049" s="13"/>
      <c r="B1049" s="19" t="s">
        <v>176</v>
      </c>
      <c r="C1049" s="20" t="s">
        <v>7</v>
      </c>
      <c r="D1049" s="97">
        <v>6.2E-2</v>
      </c>
      <c r="E1049" s="17">
        <f>'HARGA BAHAN'!E5</f>
        <v>160000</v>
      </c>
      <c r="F1049" s="98">
        <f>+D1049*E1049</f>
        <v>9920</v>
      </c>
    </row>
    <row r="1050" spans="1:6" x14ac:dyDescent="0.3">
      <c r="A1050" s="13"/>
      <c r="B1050" s="14" t="s">
        <v>131</v>
      </c>
      <c r="C1050" s="15" t="s">
        <v>7</v>
      </c>
      <c r="D1050" s="97">
        <v>6.1999999999999998E-3</v>
      </c>
      <c r="E1050" s="17">
        <f>'HARGA BAHAN'!E6</f>
        <v>180000</v>
      </c>
      <c r="F1050" s="18">
        <f t="shared" ref="F1050:F1051" si="23">+D1050*E1050</f>
        <v>1116</v>
      </c>
    </row>
    <row r="1051" spans="1:6" ht="17.25" thickBot="1" x14ac:dyDescent="0.35">
      <c r="A1051" s="23"/>
      <c r="B1051" s="24" t="s">
        <v>132</v>
      </c>
      <c r="C1051" s="25" t="s">
        <v>7</v>
      </c>
      <c r="D1051" s="69">
        <v>1E-3</v>
      </c>
      <c r="E1051" s="17">
        <f>'HARGA BAHAN'!E7</f>
        <v>175000</v>
      </c>
      <c r="F1051" s="96">
        <f t="shared" si="23"/>
        <v>175</v>
      </c>
    </row>
    <row r="1052" spans="1:6" ht="17.25" thickBot="1" x14ac:dyDescent="0.35">
      <c r="A1052" s="27"/>
      <c r="B1052" s="28"/>
      <c r="C1052" s="29"/>
      <c r="D1052" s="30" t="s">
        <v>8</v>
      </c>
      <c r="E1052" s="31"/>
      <c r="F1052" s="32">
        <f>SUM(F1048:F1051)</f>
        <v>15086</v>
      </c>
    </row>
    <row r="1053" spans="1:6" x14ac:dyDescent="0.3">
      <c r="A1053" s="33" t="s">
        <v>9</v>
      </c>
      <c r="B1053" s="34" t="s">
        <v>133</v>
      </c>
      <c r="C1053" s="35"/>
      <c r="D1053" s="35"/>
      <c r="E1053" s="35"/>
      <c r="F1053" s="36"/>
    </row>
    <row r="1054" spans="1:6" x14ac:dyDescent="0.3">
      <c r="A1054" s="37"/>
      <c r="B1054" s="38" t="s">
        <v>524</v>
      </c>
      <c r="C1054" s="39" t="s">
        <v>177</v>
      </c>
      <c r="D1054" s="40">
        <v>1.2</v>
      </c>
      <c r="E1054" s="41">
        <f>'HARGA BAHAN'!E100</f>
        <v>7500</v>
      </c>
      <c r="F1054" s="42">
        <f t="shared" ref="F1054" si="24">+D1054*E1054</f>
        <v>9000</v>
      </c>
    </row>
    <row r="1055" spans="1:6" ht="17.25" thickBot="1" x14ac:dyDescent="0.35">
      <c r="A1055" s="13"/>
      <c r="B1055" s="14" t="s">
        <v>178</v>
      </c>
      <c r="C1055" s="15" t="s">
        <v>179</v>
      </c>
      <c r="D1055" s="16">
        <v>35</v>
      </c>
      <c r="E1055" s="17">
        <f>F1054</f>
        <v>9000</v>
      </c>
      <c r="F1055" s="18">
        <f>E1055*D1055/100</f>
        <v>3150</v>
      </c>
    </row>
    <row r="1056" spans="1:6" ht="17.25" thickBot="1" x14ac:dyDescent="0.35">
      <c r="A1056" s="27"/>
      <c r="B1056" s="43"/>
      <c r="C1056" s="43"/>
      <c r="D1056" s="44" t="s">
        <v>10</v>
      </c>
      <c r="E1056" s="43"/>
      <c r="F1056" s="32">
        <f>SUM(F1054:F1055)</f>
        <v>12150</v>
      </c>
    </row>
    <row r="1057" spans="1:6" ht="17.25" thickBot="1" x14ac:dyDescent="0.35">
      <c r="A1057" s="33" t="s">
        <v>11</v>
      </c>
      <c r="B1057" s="34" t="s">
        <v>138</v>
      </c>
      <c r="C1057" s="35"/>
      <c r="D1057" s="35"/>
      <c r="E1057" s="35"/>
      <c r="F1057" s="36"/>
    </row>
    <row r="1058" spans="1:6" ht="17.25" thickBot="1" x14ac:dyDescent="0.35">
      <c r="A1058" s="27"/>
      <c r="B1058" s="28"/>
      <c r="C1058" s="29"/>
      <c r="D1058" s="30" t="s">
        <v>12</v>
      </c>
      <c r="E1058" s="31"/>
      <c r="F1058" s="32">
        <v>0</v>
      </c>
    </row>
    <row r="1059" spans="1:6" x14ac:dyDescent="0.3">
      <c r="A1059" s="33" t="s">
        <v>13</v>
      </c>
      <c r="B1059" s="34" t="s">
        <v>14</v>
      </c>
      <c r="C1059" s="51"/>
      <c r="D1059" s="51"/>
      <c r="E1059" s="52"/>
      <c r="F1059" s="53">
        <f>+F1052+F1056+F1058</f>
        <v>27236</v>
      </c>
    </row>
    <row r="1060" spans="1:6" x14ac:dyDescent="0.3">
      <c r="A1060" s="9" t="s">
        <v>15</v>
      </c>
      <c r="B1060" s="10" t="s">
        <v>49</v>
      </c>
      <c r="C1060" s="54"/>
      <c r="D1060" s="54"/>
      <c r="E1060" s="55"/>
      <c r="F1060" s="56">
        <f>F1059*0.15</f>
        <v>4085.3999999999996</v>
      </c>
    </row>
    <row r="1061" spans="1:6" ht="17.25" thickBot="1" x14ac:dyDescent="0.35">
      <c r="A1061" s="57" t="s">
        <v>16</v>
      </c>
      <c r="B1061" s="58" t="s">
        <v>17</v>
      </c>
      <c r="C1061" s="59"/>
      <c r="D1061" s="59"/>
      <c r="E1061" s="60"/>
      <c r="F1061" s="61">
        <f>SUM(F1059:F1060)</f>
        <v>31321.4</v>
      </c>
    </row>
    <row r="1063" spans="1:6" ht="17.25" thickBot="1" x14ac:dyDescent="0.35">
      <c r="A1063" s="70" t="s">
        <v>175</v>
      </c>
      <c r="B1063" s="1" t="s">
        <v>527</v>
      </c>
      <c r="C1063" s="2"/>
      <c r="D1063" s="2"/>
      <c r="E1063" s="2"/>
      <c r="F1063" s="2"/>
    </row>
    <row r="1064" spans="1:6" ht="26.25" thickBot="1" x14ac:dyDescent="0.35">
      <c r="A1064" s="3" t="s">
        <v>2</v>
      </c>
      <c r="B1064" s="4" t="s">
        <v>3</v>
      </c>
      <c r="C1064" s="4" t="s">
        <v>0</v>
      </c>
      <c r="D1064" s="4" t="s">
        <v>4</v>
      </c>
      <c r="E1064" s="4" t="s">
        <v>5</v>
      </c>
      <c r="F1064" s="5" t="s">
        <v>6</v>
      </c>
    </row>
    <row r="1065" spans="1:6" x14ac:dyDescent="0.3">
      <c r="A1065" s="6">
        <v>1</v>
      </c>
      <c r="B1065" s="7">
        <v>2</v>
      </c>
      <c r="C1065" s="7">
        <v>3</v>
      </c>
      <c r="D1065" s="7">
        <v>4</v>
      </c>
      <c r="E1065" s="7">
        <v>5</v>
      </c>
      <c r="F1065" s="8">
        <v>6</v>
      </c>
    </row>
    <row r="1066" spans="1:6" x14ac:dyDescent="0.3">
      <c r="A1066" s="9" t="s">
        <v>1</v>
      </c>
      <c r="B1066" s="10" t="s">
        <v>128</v>
      </c>
      <c r="C1066" s="11"/>
      <c r="D1066" s="11"/>
      <c r="E1066" s="11"/>
      <c r="F1066" s="12"/>
    </row>
    <row r="1067" spans="1:6" x14ac:dyDescent="0.3">
      <c r="A1067" s="13"/>
      <c r="B1067" s="14" t="s">
        <v>129</v>
      </c>
      <c r="C1067" s="15" t="s">
        <v>7</v>
      </c>
      <c r="D1067" s="68">
        <v>8.1000000000000003E-2</v>
      </c>
      <c r="E1067" s="17">
        <f>'HARGA BAHAN'!E4</f>
        <v>125000</v>
      </c>
      <c r="F1067" s="18">
        <f t="shared" ref="F1067" si="25">+D1067*E1067</f>
        <v>10125</v>
      </c>
    </row>
    <row r="1068" spans="1:6" x14ac:dyDescent="0.3">
      <c r="A1068" s="13"/>
      <c r="B1068" s="19" t="s">
        <v>176</v>
      </c>
      <c r="C1068" s="20" t="s">
        <v>7</v>
      </c>
      <c r="D1068" s="97">
        <v>0.13500000000000001</v>
      </c>
      <c r="E1068" s="17">
        <f>'HARGA BAHAN'!E5</f>
        <v>160000</v>
      </c>
      <c r="F1068" s="98">
        <f>+D1068*E1068</f>
        <v>21600</v>
      </c>
    </row>
    <row r="1069" spans="1:6" x14ac:dyDescent="0.3">
      <c r="A1069" s="13"/>
      <c r="B1069" s="14" t="s">
        <v>131</v>
      </c>
      <c r="C1069" s="15" t="s">
        <v>7</v>
      </c>
      <c r="D1069" s="97">
        <v>1.35E-2</v>
      </c>
      <c r="E1069" s="17">
        <f>'HARGA BAHAN'!E6</f>
        <v>180000</v>
      </c>
      <c r="F1069" s="18">
        <f t="shared" ref="F1069:F1070" si="26">+D1069*E1069</f>
        <v>2430</v>
      </c>
    </row>
    <row r="1070" spans="1:6" ht="17.25" thickBot="1" x14ac:dyDescent="0.35">
      <c r="A1070" s="23"/>
      <c r="B1070" s="24" t="s">
        <v>132</v>
      </c>
      <c r="C1070" s="25" t="s">
        <v>7</v>
      </c>
      <c r="D1070" s="69">
        <v>4.0000000000000001E-3</v>
      </c>
      <c r="E1070" s="17">
        <f>'HARGA BAHAN'!E7</f>
        <v>175000</v>
      </c>
      <c r="F1070" s="96">
        <f t="shared" si="26"/>
        <v>700</v>
      </c>
    </row>
    <row r="1071" spans="1:6" ht="17.25" thickBot="1" x14ac:dyDescent="0.35">
      <c r="A1071" s="27"/>
      <c r="B1071" s="28"/>
      <c r="C1071" s="29"/>
      <c r="D1071" s="30" t="s">
        <v>8</v>
      </c>
      <c r="E1071" s="31"/>
      <c r="F1071" s="32">
        <f>SUM(F1067:F1070)</f>
        <v>34855</v>
      </c>
    </row>
    <row r="1072" spans="1:6" x14ac:dyDescent="0.3">
      <c r="A1072" s="33" t="s">
        <v>9</v>
      </c>
      <c r="B1072" s="34" t="s">
        <v>133</v>
      </c>
      <c r="C1072" s="35"/>
      <c r="D1072" s="35"/>
      <c r="E1072" s="35"/>
      <c r="F1072" s="36"/>
    </row>
    <row r="1073" spans="1:6" x14ac:dyDescent="0.3">
      <c r="A1073" s="37"/>
      <c r="B1073" s="38" t="s">
        <v>528</v>
      </c>
      <c r="C1073" s="39" t="s">
        <v>177</v>
      </c>
      <c r="D1073" s="40">
        <v>1.2</v>
      </c>
      <c r="E1073" s="41">
        <f>'HARGA BAHAN'!E101</f>
        <v>62500</v>
      </c>
      <c r="F1073" s="42">
        <f t="shared" ref="F1073" si="27">+D1073*E1073</f>
        <v>75000</v>
      </c>
    </row>
    <row r="1074" spans="1:6" ht="17.25" thickBot="1" x14ac:dyDescent="0.35">
      <c r="A1074" s="13"/>
      <c r="B1074" s="14" t="s">
        <v>178</v>
      </c>
      <c r="C1074" s="15" t="s">
        <v>179</v>
      </c>
      <c r="D1074" s="16">
        <v>35</v>
      </c>
      <c r="E1074" s="17">
        <f>E1073</f>
        <v>62500</v>
      </c>
      <c r="F1074" s="18">
        <f>E1074*D1074/100</f>
        <v>21875</v>
      </c>
    </row>
    <row r="1075" spans="1:6" ht="17.25" thickBot="1" x14ac:dyDescent="0.35">
      <c r="A1075" s="27"/>
      <c r="B1075" s="43"/>
      <c r="C1075" s="43"/>
      <c r="D1075" s="44" t="s">
        <v>10</v>
      </c>
      <c r="E1075" s="43"/>
      <c r="F1075" s="32">
        <f>SUM(F1073:F1074)</f>
        <v>96875</v>
      </c>
    </row>
    <row r="1076" spans="1:6" ht="17.25" thickBot="1" x14ac:dyDescent="0.35">
      <c r="A1076" s="33" t="s">
        <v>11</v>
      </c>
      <c r="B1076" s="34" t="s">
        <v>138</v>
      </c>
      <c r="C1076" s="35"/>
      <c r="D1076" s="35"/>
      <c r="E1076" s="35"/>
      <c r="F1076" s="36"/>
    </row>
    <row r="1077" spans="1:6" ht="17.25" thickBot="1" x14ac:dyDescent="0.35">
      <c r="A1077" s="27"/>
      <c r="B1077" s="28"/>
      <c r="C1077" s="29"/>
      <c r="D1077" s="30" t="s">
        <v>12</v>
      </c>
      <c r="E1077" s="31"/>
      <c r="F1077" s="32">
        <v>0</v>
      </c>
    </row>
    <row r="1078" spans="1:6" x14ac:dyDescent="0.3">
      <c r="A1078" s="33" t="s">
        <v>13</v>
      </c>
      <c r="B1078" s="34" t="s">
        <v>14</v>
      </c>
      <c r="C1078" s="51"/>
      <c r="D1078" s="51"/>
      <c r="E1078" s="52"/>
      <c r="F1078" s="53">
        <f>+F1071+F1075+F1077</f>
        <v>131730</v>
      </c>
    </row>
    <row r="1079" spans="1:6" x14ac:dyDescent="0.3">
      <c r="A1079" s="9" t="s">
        <v>15</v>
      </c>
      <c r="B1079" s="10" t="s">
        <v>49</v>
      </c>
      <c r="C1079" s="54"/>
      <c r="D1079" s="54"/>
      <c r="E1079" s="55"/>
      <c r="F1079" s="56">
        <f>F1078*0.15</f>
        <v>19759.5</v>
      </c>
    </row>
    <row r="1080" spans="1:6" ht="17.25" thickBot="1" x14ac:dyDescent="0.35">
      <c r="A1080" s="57" t="s">
        <v>16</v>
      </c>
      <c r="B1080" s="58" t="s">
        <v>17</v>
      </c>
      <c r="C1080" s="59"/>
      <c r="D1080" s="59"/>
      <c r="E1080" s="60"/>
      <c r="F1080" s="61">
        <f>SUM(F1078:F1079)</f>
        <v>151489.5</v>
      </c>
    </row>
    <row r="1082" spans="1:6" ht="17.25" thickBot="1" x14ac:dyDescent="0.35">
      <c r="A1082" s="70" t="s">
        <v>257</v>
      </c>
      <c r="B1082" s="1" t="s">
        <v>258</v>
      </c>
      <c r="C1082" s="2"/>
      <c r="D1082" s="2"/>
      <c r="E1082" s="2"/>
      <c r="F1082" s="2"/>
    </row>
    <row r="1083" spans="1:6" ht="26.25" thickBot="1" x14ac:dyDescent="0.35">
      <c r="A1083" s="3" t="s">
        <v>2</v>
      </c>
      <c r="B1083" s="4" t="s">
        <v>3</v>
      </c>
      <c r="C1083" s="4" t="s">
        <v>0</v>
      </c>
      <c r="D1083" s="4" t="s">
        <v>4</v>
      </c>
      <c r="E1083" s="4" t="s">
        <v>5</v>
      </c>
      <c r="F1083" s="5" t="s">
        <v>6</v>
      </c>
    </row>
    <row r="1084" spans="1:6" x14ac:dyDescent="0.3">
      <c r="A1084" s="6">
        <v>1</v>
      </c>
      <c r="B1084" s="7">
        <v>2</v>
      </c>
      <c r="C1084" s="7">
        <v>3</v>
      </c>
      <c r="D1084" s="7">
        <v>4</v>
      </c>
      <c r="E1084" s="7">
        <v>5</v>
      </c>
      <c r="F1084" s="8">
        <v>6</v>
      </c>
    </row>
    <row r="1085" spans="1:6" x14ac:dyDescent="0.3">
      <c r="A1085" s="9" t="s">
        <v>1</v>
      </c>
      <c r="B1085" s="10" t="s">
        <v>128</v>
      </c>
      <c r="C1085" s="11"/>
      <c r="D1085" s="11"/>
      <c r="E1085" s="11"/>
      <c r="F1085" s="12"/>
    </row>
    <row r="1086" spans="1:6" x14ac:dyDescent="0.3">
      <c r="A1086" s="13"/>
      <c r="B1086" s="14" t="s">
        <v>129</v>
      </c>
      <c r="C1086" s="15" t="s">
        <v>7</v>
      </c>
      <c r="D1086" s="68">
        <v>8.1000000000000003E-2</v>
      </c>
      <c r="E1086" s="17">
        <f>'HARGA BAHAN'!E4</f>
        <v>125000</v>
      </c>
      <c r="F1086" s="18">
        <f>+D1086*E1086</f>
        <v>10125</v>
      </c>
    </row>
    <row r="1087" spans="1:6" x14ac:dyDescent="0.3">
      <c r="A1087" s="13"/>
      <c r="B1087" s="19" t="s">
        <v>176</v>
      </c>
      <c r="C1087" s="20" t="s">
        <v>7</v>
      </c>
      <c r="D1087" s="97">
        <v>0.13500000000000001</v>
      </c>
      <c r="E1087" s="17">
        <f>'HARGA BAHAN'!E5</f>
        <v>160000</v>
      </c>
      <c r="F1087" s="98">
        <f>+D1087*E1087</f>
        <v>21600</v>
      </c>
    </row>
    <row r="1088" spans="1:6" x14ac:dyDescent="0.3">
      <c r="A1088" s="13"/>
      <c r="B1088" s="14" t="s">
        <v>131</v>
      </c>
      <c r="C1088" s="15" t="s">
        <v>7</v>
      </c>
      <c r="D1088" s="97">
        <v>1.35E-2</v>
      </c>
      <c r="E1088" s="17">
        <f>'HARGA BAHAN'!E6</f>
        <v>180000</v>
      </c>
      <c r="F1088" s="18">
        <f>+D1088*E1088</f>
        <v>2430</v>
      </c>
    </row>
    <row r="1089" spans="1:6" ht="17.25" thickBot="1" x14ac:dyDescent="0.35">
      <c r="A1089" s="23"/>
      <c r="B1089" s="24" t="s">
        <v>132</v>
      </c>
      <c r="C1089" s="25" t="s">
        <v>7</v>
      </c>
      <c r="D1089" s="69">
        <v>4.0000000000000001E-3</v>
      </c>
      <c r="E1089" s="17">
        <f>'HARGA BAHAN'!E7</f>
        <v>175000</v>
      </c>
      <c r="F1089" s="96">
        <f>+D1089*E1089</f>
        <v>700</v>
      </c>
    </row>
    <row r="1090" spans="1:6" ht="17.25" thickBot="1" x14ac:dyDescent="0.35">
      <c r="A1090" s="27"/>
      <c r="B1090" s="28"/>
      <c r="C1090" s="29"/>
      <c r="D1090" s="30" t="s">
        <v>8</v>
      </c>
      <c r="E1090" s="31"/>
      <c r="F1090" s="32">
        <f>SUM(F1086:F1089)</f>
        <v>34855</v>
      </c>
    </row>
    <row r="1091" spans="1:6" x14ac:dyDescent="0.3">
      <c r="A1091" s="33" t="s">
        <v>9</v>
      </c>
      <c r="B1091" s="34" t="s">
        <v>133</v>
      </c>
      <c r="C1091" s="35"/>
      <c r="D1091" s="35"/>
      <c r="E1091" s="35"/>
      <c r="F1091" s="36"/>
    </row>
    <row r="1092" spans="1:6" x14ac:dyDescent="0.3">
      <c r="A1092" s="37"/>
      <c r="B1092" s="38" t="s">
        <v>259</v>
      </c>
      <c r="C1092" s="39" t="s">
        <v>177</v>
      </c>
      <c r="D1092" s="40">
        <v>1.2</v>
      </c>
      <c r="E1092" s="41">
        <f>'HARGA BAHAN'!E102</f>
        <v>125000</v>
      </c>
      <c r="F1092" s="42">
        <f>+D1092*E1092</f>
        <v>150000</v>
      </c>
    </row>
    <row r="1093" spans="1:6" ht="17.25" thickBot="1" x14ac:dyDescent="0.35">
      <c r="A1093" s="13"/>
      <c r="B1093" s="14" t="s">
        <v>178</v>
      </c>
      <c r="C1093" s="15" t="s">
        <v>179</v>
      </c>
      <c r="D1093" s="16">
        <v>35</v>
      </c>
      <c r="E1093" s="17">
        <f>F1092</f>
        <v>150000</v>
      </c>
      <c r="F1093" s="18">
        <f>E1093*D1093/100</f>
        <v>52500</v>
      </c>
    </row>
    <row r="1094" spans="1:6" ht="17.25" thickBot="1" x14ac:dyDescent="0.35">
      <c r="A1094" s="27"/>
      <c r="B1094" s="43"/>
      <c r="C1094" s="43"/>
      <c r="D1094" s="44" t="s">
        <v>10</v>
      </c>
      <c r="E1094" s="43"/>
      <c r="F1094" s="32">
        <f>SUM(F1092:F1093)</f>
        <v>202500</v>
      </c>
    </row>
    <row r="1095" spans="1:6" ht="17.25" thickBot="1" x14ac:dyDescent="0.35">
      <c r="A1095" s="33" t="s">
        <v>11</v>
      </c>
      <c r="B1095" s="34" t="s">
        <v>138</v>
      </c>
      <c r="C1095" s="35"/>
      <c r="D1095" s="35"/>
      <c r="E1095" s="35"/>
      <c r="F1095" s="36"/>
    </row>
    <row r="1096" spans="1:6" ht="17.25" thickBot="1" x14ac:dyDescent="0.35">
      <c r="A1096" s="27"/>
      <c r="B1096" s="28"/>
      <c r="C1096" s="29"/>
      <c r="D1096" s="30" t="s">
        <v>12</v>
      </c>
      <c r="E1096" s="31"/>
      <c r="F1096" s="32">
        <v>0</v>
      </c>
    </row>
    <row r="1097" spans="1:6" x14ac:dyDescent="0.3">
      <c r="A1097" s="33" t="s">
        <v>13</v>
      </c>
      <c r="B1097" s="34" t="s">
        <v>14</v>
      </c>
      <c r="C1097" s="51"/>
      <c r="D1097" s="51"/>
      <c r="E1097" s="52"/>
      <c r="F1097" s="53">
        <f>+F1090+F1094+F1096</f>
        <v>237355</v>
      </c>
    </row>
    <row r="1098" spans="1:6" x14ac:dyDescent="0.3">
      <c r="A1098" s="9" t="s">
        <v>15</v>
      </c>
      <c r="B1098" s="10" t="s">
        <v>49</v>
      </c>
      <c r="C1098" s="54"/>
      <c r="D1098" s="54"/>
      <c r="E1098" s="55"/>
      <c r="F1098" s="56">
        <f>F1097*0.15</f>
        <v>35603.25</v>
      </c>
    </row>
    <row r="1099" spans="1:6" ht="17.25" thickBot="1" x14ac:dyDescent="0.35">
      <c r="A1099" s="57" t="s">
        <v>16</v>
      </c>
      <c r="B1099" s="58" t="s">
        <v>17</v>
      </c>
      <c r="C1099" s="59"/>
      <c r="D1099" s="59"/>
      <c r="E1099" s="60"/>
      <c r="F1099" s="61">
        <f>SUM(F1097:F1098)</f>
        <v>272958.25</v>
      </c>
    </row>
    <row r="1101" spans="1:6" ht="17.25" thickBot="1" x14ac:dyDescent="0.35">
      <c r="A1101" s="70" t="s">
        <v>558</v>
      </c>
      <c r="B1101" s="1" t="s">
        <v>554</v>
      </c>
      <c r="C1101" s="2"/>
      <c r="D1101" s="2"/>
      <c r="E1101" s="2"/>
      <c r="F1101" s="2"/>
    </row>
    <row r="1102" spans="1:6" ht="26.25" thickBot="1" x14ac:dyDescent="0.35">
      <c r="A1102" s="3" t="s">
        <v>2</v>
      </c>
      <c r="B1102" s="4" t="s">
        <v>3</v>
      </c>
      <c r="C1102" s="4" t="s">
        <v>0</v>
      </c>
      <c r="D1102" s="4" t="s">
        <v>4</v>
      </c>
      <c r="E1102" s="4" t="s">
        <v>5</v>
      </c>
      <c r="F1102" s="5" t="s">
        <v>6</v>
      </c>
    </row>
    <row r="1103" spans="1:6" x14ac:dyDescent="0.3">
      <c r="A1103" s="6">
        <v>1</v>
      </c>
      <c r="B1103" s="7">
        <v>2</v>
      </c>
      <c r="C1103" s="7">
        <v>3</v>
      </c>
      <c r="D1103" s="7">
        <v>4</v>
      </c>
      <c r="E1103" s="7">
        <v>5</v>
      </c>
      <c r="F1103" s="8">
        <v>6</v>
      </c>
    </row>
    <row r="1104" spans="1:6" x14ac:dyDescent="0.3">
      <c r="A1104" s="9" t="s">
        <v>1</v>
      </c>
      <c r="B1104" s="10" t="s">
        <v>128</v>
      </c>
      <c r="C1104" s="11"/>
      <c r="D1104" s="11"/>
      <c r="E1104" s="11"/>
      <c r="F1104" s="12"/>
    </row>
    <row r="1105" spans="1:6" x14ac:dyDescent="0.3">
      <c r="A1105" s="13"/>
      <c r="B1105" s="14" t="s">
        <v>129</v>
      </c>
      <c r="C1105" s="15" t="s">
        <v>7</v>
      </c>
      <c r="D1105" s="68">
        <v>1</v>
      </c>
      <c r="E1105" s="17">
        <f>'HARGA BAHAN'!E4</f>
        <v>125000</v>
      </c>
      <c r="F1105" s="18">
        <f>+D1105*E1105</f>
        <v>125000</v>
      </c>
    </row>
    <row r="1106" spans="1:6" x14ac:dyDescent="0.3">
      <c r="A1106" s="13"/>
      <c r="B1106" s="19" t="s">
        <v>176</v>
      </c>
      <c r="C1106" s="20" t="s">
        <v>7</v>
      </c>
      <c r="D1106" s="97">
        <v>1.5</v>
      </c>
      <c r="E1106" s="17">
        <f>'HARGA BAHAN'!E5</f>
        <v>160000</v>
      </c>
      <c r="F1106" s="98">
        <f>+D1106*E1106</f>
        <v>240000</v>
      </c>
    </row>
    <row r="1107" spans="1:6" x14ac:dyDescent="0.3">
      <c r="A1107" s="13"/>
      <c r="B1107" s="14" t="s">
        <v>131</v>
      </c>
      <c r="C1107" s="15" t="s">
        <v>7</v>
      </c>
      <c r="D1107" s="97">
        <v>0.15</v>
      </c>
      <c r="E1107" s="17">
        <f>'HARGA BAHAN'!E6</f>
        <v>180000</v>
      </c>
      <c r="F1107" s="18">
        <f>+D1107*E1107</f>
        <v>27000</v>
      </c>
    </row>
    <row r="1108" spans="1:6" ht="17.25" thickBot="1" x14ac:dyDescent="0.35">
      <c r="A1108" s="23"/>
      <c r="B1108" s="24" t="s">
        <v>132</v>
      </c>
      <c r="C1108" s="25" t="s">
        <v>7</v>
      </c>
      <c r="D1108" s="69">
        <v>0.16</v>
      </c>
      <c r="E1108" s="17">
        <f>'HARGA BAHAN'!E7</f>
        <v>175000</v>
      </c>
      <c r="F1108" s="96">
        <f>+D1108*E1108</f>
        <v>28000</v>
      </c>
    </row>
    <row r="1109" spans="1:6" ht="17.25" thickBot="1" x14ac:dyDescent="0.35">
      <c r="A1109" s="27"/>
      <c r="B1109" s="28"/>
      <c r="C1109" s="29"/>
      <c r="D1109" s="30" t="s">
        <v>8</v>
      </c>
      <c r="E1109" s="31"/>
      <c r="F1109" s="32">
        <f>SUM(F1105:F1108)</f>
        <v>420000</v>
      </c>
    </row>
    <row r="1110" spans="1:6" x14ac:dyDescent="0.3">
      <c r="A1110" s="33" t="s">
        <v>9</v>
      </c>
      <c r="B1110" s="34" t="s">
        <v>133</v>
      </c>
      <c r="C1110" s="35"/>
      <c r="D1110" s="35"/>
      <c r="E1110" s="35"/>
      <c r="F1110" s="36"/>
    </row>
    <row r="1111" spans="1:6" x14ac:dyDescent="0.3">
      <c r="A1111" s="37"/>
      <c r="B1111" s="38" t="s">
        <v>555</v>
      </c>
      <c r="C1111" s="39" t="s">
        <v>206</v>
      </c>
      <c r="D1111" s="40">
        <v>1</v>
      </c>
      <c r="E1111" s="41">
        <f>'HARGA BAHAN'!E107</f>
        <v>380000</v>
      </c>
      <c r="F1111" s="42">
        <f>+D1111*E1111</f>
        <v>380000</v>
      </c>
    </row>
    <row r="1112" spans="1:6" x14ac:dyDescent="0.3">
      <c r="A1112" s="67"/>
      <c r="B1112" s="19" t="s">
        <v>550</v>
      </c>
      <c r="C1112" s="20" t="s">
        <v>186</v>
      </c>
      <c r="D1112" s="21">
        <v>6</v>
      </c>
      <c r="E1112" s="22">
        <f>'HARGA BAHAN'!E13</f>
        <v>2000</v>
      </c>
      <c r="F1112" s="18">
        <f t="shared" ref="F1112:F1113" si="28">+D1112*E1112</f>
        <v>12000</v>
      </c>
    </row>
    <row r="1113" spans="1:6" ht="17.25" thickBot="1" x14ac:dyDescent="0.35">
      <c r="A1113" s="67"/>
      <c r="B1113" s="19" t="s">
        <v>184</v>
      </c>
      <c r="C1113" s="20" t="s">
        <v>187</v>
      </c>
      <c r="D1113" s="21">
        <v>0.01</v>
      </c>
      <c r="E1113" s="22">
        <f>'HARGA BAHAN'!E15</f>
        <v>210000</v>
      </c>
      <c r="F1113" s="18">
        <f t="shared" si="28"/>
        <v>2100</v>
      </c>
    </row>
    <row r="1114" spans="1:6" ht="17.25" thickBot="1" x14ac:dyDescent="0.35">
      <c r="A1114" s="27"/>
      <c r="B1114" s="43"/>
      <c r="C1114" s="43"/>
      <c r="D1114" s="44" t="s">
        <v>10</v>
      </c>
      <c r="E1114" s="43"/>
      <c r="F1114" s="32">
        <f>SUM(F1111:F1113)</f>
        <v>394100</v>
      </c>
    </row>
    <row r="1115" spans="1:6" ht="17.25" thickBot="1" x14ac:dyDescent="0.35">
      <c r="A1115" s="33" t="s">
        <v>11</v>
      </c>
      <c r="B1115" s="34" t="s">
        <v>138</v>
      </c>
      <c r="C1115" s="35"/>
      <c r="D1115" s="35"/>
      <c r="E1115" s="35"/>
      <c r="F1115" s="36"/>
    </row>
    <row r="1116" spans="1:6" ht="17.25" thickBot="1" x14ac:dyDescent="0.35">
      <c r="A1116" s="27"/>
      <c r="B1116" s="28"/>
      <c r="C1116" s="29"/>
      <c r="D1116" s="30" t="s">
        <v>12</v>
      </c>
      <c r="E1116" s="31"/>
      <c r="F1116" s="32">
        <v>0</v>
      </c>
    </row>
    <row r="1117" spans="1:6" x14ac:dyDescent="0.3">
      <c r="A1117" s="33" t="s">
        <v>13</v>
      </c>
      <c r="B1117" s="34" t="s">
        <v>14</v>
      </c>
      <c r="C1117" s="51"/>
      <c r="D1117" s="51"/>
      <c r="E1117" s="52"/>
      <c r="F1117" s="53">
        <f>+F1109+F1114+F1116</f>
        <v>814100</v>
      </c>
    </row>
    <row r="1118" spans="1:6" x14ac:dyDescent="0.3">
      <c r="A1118" s="9" t="s">
        <v>15</v>
      </c>
      <c r="B1118" s="10" t="s">
        <v>49</v>
      </c>
      <c r="C1118" s="54"/>
      <c r="D1118" s="54"/>
      <c r="E1118" s="55"/>
      <c r="F1118" s="56">
        <f>F1117*0.15</f>
        <v>122115</v>
      </c>
    </row>
    <row r="1119" spans="1:6" ht="17.25" thickBot="1" x14ac:dyDescent="0.35">
      <c r="A1119" s="57" t="s">
        <v>16</v>
      </c>
      <c r="B1119" s="58" t="s">
        <v>17</v>
      </c>
      <c r="C1119" s="59"/>
      <c r="D1119" s="59"/>
      <c r="E1119" s="60"/>
      <c r="F1119" s="61">
        <f>SUM(F1117:F1118)</f>
        <v>936215</v>
      </c>
    </row>
    <row r="1121" spans="1:6" ht="17.25" thickBot="1" x14ac:dyDescent="0.35">
      <c r="A1121" s="70" t="s">
        <v>556</v>
      </c>
      <c r="B1121" s="1" t="s">
        <v>557</v>
      </c>
      <c r="C1121" s="2"/>
      <c r="D1121" s="2"/>
      <c r="E1121" s="2"/>
      <c r="F1121" s="2"/>
    </row>
    <row r="1122" spans="1:6" ht="26.25" thickBot="1" x14ac:dyDescent="0.35">
      <c r="A1122" s="3" t="s">
        <v>2</v>
      </c>
      <c r="B1122" s="4" t="s">
        <v>3</v>
      </c>
      <c r="C1122" s="4" t="s">
        <v>0</v>
      </c>
      <c r="D1122" s="4" t="s">
        <v>4</v>
      </c>
      <c r="E1122" s="4" t="s">
        <v>5</v>
      </c>
      <c r="F1122" s="5" t="s">
        <v>6</v>
      </c>
    </row>
    <row r="1123" spans="1:6" x14ac:dyDescent="0.3">
      <c r="A1123" s="6">
        <v>1</v>
      </c>
      <c r="B1123" s="7">
        <v>2</v>
      </c>
      <c r="C1123" s="7">
        <v>3</v>
      </c>
      <c r="D1123" s="7">
        <v>4</v>
      </c>
      <c r="E1123" s="7">
        <v>5</v>
      </c>
      <c r="F1123" s="8">
        <v>6</v>
      </c>
    </row>
    <row r="1124" spans="1:6" x14ac:dyDescent="0.3">
      <c r="A1124" s="9" t="s">
        <v>1</v>
      </c>
      <c r="B1124" s="10" t="s">
        <v>128</v>
      </c>
      <c r="C1124" s="11"/>
      <c r="D1124" s="11"/>
      <c r="E1124" s="11"/>
      <c r="F1124" s="12"/>
    </row>
    <row r="1125" spans="1:6" x14ac:dyDescent="0.3">
      <c r="A1125" s="13"/>
      <c r="B1125" s="14" t="s">
        <v>129</v>
      </c>
      <c r="C1125" s="15" t="s">
        <v>7</v>
      </c>
      <c r="D1125" s="68">
        <v>0.01</v>
      </c>
      <c r="E1125" s="17">
        <f>'HARGA BAHAN'!E4</f>
        <v>125000</v>
      </c>
      <c r="F1125" s="18">
        <f>+D1125*E1125</f>
        <v>1250</v>
      </c>
    </row>
    <row r="1126" spans="1:6" x14ac:dyDescent="0.3">
      <c r="A1126" s="13"/>
      <c r="B1126" s="19" t="s">
        <v>176</v>
      </c>
      <c r="C1126" s="20" t="s">
        <v>7</v>
      </c>
      <c r="D1126" s="97">
        <v>0.1</v>
      </c>
      <c r="E1126" s="17">
        <f>'HARGA BAHAN'!E5</f>
        <v>160000</v>
      </c>
      <c r="F1126" s="98">
        <f>+D1126*E1126</f>
        <v>16000</v>
      </c>
    </row>
    <row r="1127" spans="1:6" x14ac:dyDescent="0.3">
      <c r="A1127" s="13"/>
      <c r="B1127" s="14" t="s">
        <v>131</v>
      </c>
      <c r="C1127" s="15" t="s">
        <v>7</v>
      </c>
      <c r="D1127" s="97">
        <v>0.01</v>
      </c>
      <c r="E1127" s="17">
        <f>'HARGA BAHAN'!E6</f>
        <v>180000</v>
      </c>
      <c r="F1127" s="18">
        <f>+D1127*E1127</f>
        <v>1800</v>
      </c>
    </row>
    <row r="1128" spans="1:6" ht="17.25" thickBot="1" x14ac:dyDescent="0.35">
      <c r="A1128" s="23"/>
      <c r="B1128" s="24" t="s">
        <v>132</v>
      </c>
      <c r="C1128" s="25" t="s">
        <v>7</v>
      </c>
      <c r="D1128" s="69">
        <v>5.0000000000000001E-3</v>
      </c>
      <c r="E1128" s="17">
        <f>'HARGA BAHAN'!E7</f>
        <v>175000</v>
      </c>
      <c r="F1128" s="96">
        <f>+D1128*E1128</f>
        <v>875</v>
      </c>
    </row>
    <row r="1129" spans="1:6" ht="17.25" thickBot="1" x14ac:dyDescent="0.35">
      <c r="A1129" s="27"/>
      <c r="B1129" s="28"/>
      <c r="C1129" s="29"/>
      <c r="D1129" s="30" t="s">
        <v>8</v>
      </c>
      <c r="E1129" s="31"/>
      <c r="F1129" s="32">
        <f>SUM(F1125:F1128)</f>
        <v>19925</v>
      </c>
    </row>
    <row r="1130" spans="1:6" x14ac:dyDescent="0.3">
      <c r="A1130" s="33" t="s">
        <v>9</v>
      </c>
      <c r="B1130" s="34" t="s">
        <v>133</v>
      </c>
      <c r="C1130" s="35"/>
      <c r="D1130" s="35"/>
      <c r="E1130" s="35"/>
      <c r="F1130" s="36"/>
    </row>
    <row r="1131" spans="1:6" ht="17.25" thickBot="1" x14ac:dyDescent="0.35">
      <c r="A1131" s="37"/>
      <c r="B1131" s="38" t="s">
        <v>559</v>
      </c>
      <c r="C1131" s="39" t="s">
        <v>206</v>
      </c>
      <c r="D1131" s="40">
        <v>1</v>
      </c>
      <c r="E1131" s="41">
        <f>'HARGA BAHAN'!E108</f>
        <v>43000</v>
      </c>
      <c r="F1131" s="42">
        <f>+D1131*E1131</f>
        <v>43000</v>
      </c>
    </row>
    <row r="1132" spans="1:6" ht="17.25" thickBot="1" x14ac:dyDescent="0.35">
      <c r="A1132" s="27"/>
      <c r="B1132" s="43"/>
      <c r="C1132" s="43"/>
      <c r="D1132" s="44" t="s">
        <v>10</v>
      </c>
      <c r="E1132" s="43"/>
      <c r="F1132" s="32">
        <f>SUM(F1131:F1131)</f>
        <v>43000</v>
      </c>
    </row>
    <row r="1133" spans="1:6" ht="17.25" thickBot="1" x14ac:dyDescent="0.35">
      <c r="A1133" s="33" t="s">
        <v>11</v>
      </c>
      <c r="B1133" s="34" t="s">
        <v>138</v>
      </c>
      <c r="C1133" s="35"/>
      <c r="D1133" s="35"/>
      <c r="E1133" s="35"/>
      <c r="F1133" s="36"/>
    </row>
    <row r="1134" spans="1:6" ht="17.25" thickBot="1" x14ac:dyDescent="0.35">
      <c r="A1134" s="27"/>
      <c r="B1134" s="28"/>
      <c r="C1134" s="29"/>
      <c r="D1134" s="30" t="s">
        <v>12</v>
      </c>
      <c r="E1134" s="31"/>
      <c r="F1134" s="32">
        <v>0</v>
      </c>
    </row>
    <row r="1135" spans="1:6" x14ac:dyDescent="0.3">
      <c r="A1135" s="33" t="s">
        <v>13</v>
      </c>
      <c r="B1135" s="34" t="s">
        <v>14</v>
      </c>
      <c r="C1135" s="51"/>
      <c r="D1135" s="51"/>
      <c r="E1135" s="52"/>
      <c r="F1135" s="53">
        <f>+F1129+F1132+F1134</f>
        <v>62925</v>
      </c>
    </row>
    <row r="1136" spans="1:6" x14ac:dyDescent="0.3">
      <c r="A1136" s="9" t="s">
        <v>15</v>
      </c>
      <c r="B1136" s="10" t="s">
        <v>49</v>
      </c>
      <c r="C1136" s="54"/>
      <c r="D1136" s="54"/>
      <c r="E1136" s="55"/>
      <c r="F1136" s="56">
        <f>F1135*0.15</f>
        <v>9438.75</v>
      </c>
    </row>
    <row r="1137" spans="1:6" ht="17.25" thickBot="1" x14ac:dyDescent="0.35">
      <c r="A1137" s="57" t="s">
        <v>16</v>
      </c>
      <c r="B1137" s="58" t="s">
        <v>17</v>
      </c>
      <c r="C1137" s="59"/>
      <c r="D1137" s="59"/>
      <c r="E1137" s="60"/>
      <c r="F1137" s="61">
        <f>SUM(F1135:F1136)</f>
        <v>72363.75</v>
      </c>
    </row>
    <row r="1139" spans="1:6" x14ac:dyDescent="0.3">
      <c r="A1139" s="70" t="s">
        <v>614</v>
      </c>
      <c r="B1139" s="70" t="s">
        <v>615</v>
      </c>
    </row>
    <row r="1140" spans="1:6" ht="17.25" thickBot="1" x14ac:dyDescent="0.35">
      <c r="A1140" s="70"/>
      <c r="B1140" s="1" t="s">
        <v>616</v>
      </c>
      <c r="C1140" s="2"/>
      <c r="D1140" s="2"/>
      <c r="E1140" s="2"/>
      <c r="F1140" s="2"/>
    </row>
    <row r="1141" spans="1:6" ht="26.25" thickBot="1" x14ac:dyDescent="0.35">
      <c r="A1141" s="3" t="s">
        <v>2</v>
      </c>
      <c r="B1141" s="4" t="s">
        <v>3</v>
      </c>
      <c r="C1141" s="4" t="s">
        <v>0</v>
      </c>
      <c r="D1141" s="4" t="s">
        <v>4</v>
      </c>
      <c r="E1141" s="4" t="s">
        <v>5</v>
      </c>
      <c r="F1141" s="5" t="s">
        <v>6</v>
      </c>
    </row>
    <row r="1142" spans="1:6" x14ac:dyDescent="0.3">
      <c r="A1142" s="6">
        <v>1</v>
      </c>
      <c r="B1142" s="7">
        <v>2</v>
      </c>
      <c r="C1142" s="7">
        <v>3</v>
      </c>
      <c r="D1142" s="7">
        <v>4</v>
      </c>
      <c r="E1142" s="7">
        <v>5</v>
      </c>
      <c r="F1142" s="8">
        <v>6</v>
      </c>
    </row>
    <row r="1143" spans="1:6" x14ac:dyDescent="0.3">
      <c r="A1143" s="9" t="s">
        <v>1</v>
      </c>
      <c r="B1143" s="10" t="s">
        <v>128</v>
      </c>
      <c r="C1143" s="11"/>
      <c r="D1143" s="11"/>
      <c r="E1143" s="11"/>
      <c r="F1143" s="12"/>
    </row>
    <row r="1144" spans="1:6" x14ac:dyDescent="0.3">
      <c r="A1144" s="13"/>
      <c r="B1144" s="14" t="s">
        <v>129</v>
      </c>
      <c r="C1144" s="15" t="s">
        <v>7</v>
      </c>
      <c r="D1144" s="68">
        <v>5.3999999999999999E-2</v>
      </c>
      <c r="E1144" s="17">
        <f>'HARGA BAHAN'!E4</f>
        <v>125000</v>
      </c>
      <c r="F1144" s="18">
        <f>+D1144*E1144</f>
        <v>6750</v>
      </c>
    </row>
    <row r="1145" spans="1:6" x14ac:dyDescent="0.3">
      <c r="A1145" s="13"/>
      <c r="B1145" s="19" t="s">
        <v>176</v>
      </c>
      <c r="C1145" s="20" t="s">
        <v>7</v>
      </c>
      <c r="D1145" s="97">
        <v>0.09</v>
      </c>
      <c r="E1145" s="17">
        <f>'HARGA BAHAN'!E5</f>
        <v>160000</v>
      </c>
      <c r="F1145" s="98">
        <f>+D1145*E1145</f>
        <v>14400</v>
      </c>
    </row>
    <row r="1146" spans="1:6" x14ac:dyDescent="0.3">
      <c r="A1146" s="13"/>
      <c r="B1146" s="14" t="s">
        <v>131</v>
      </c>
      <c r="C1146" s="15" t="s">
        <v>7</v>
      </c>
      <c r="D1146" s="97">
        <v>8.9999999999999993E-3</v>
      </c>
      <c r="E1146" s="17">
        <f>'HARGA BAHAN'!E6</f>
        <v>180000</v>
      </c>
      <c r="F1146" s="18">
        <f>+D1146*E1146</f>
        <v>1619.9999999999998</v>
      </c>
    </row>
    <row r="1147" spans="1:6" ht="17.25" thickBot="1" x14ac:dyDescent="0.35">
      <c r="A1147" s="23"/>
      <c r="B1147" s="24" t="s">
        <v>132</v>
      </c>
      <c r="C1147" s="25" t="s">
        <v>7</v>
      </c>
      <c r="D1147" s="69">
        <v>2.7E-2</v>
      </c>
      <c r="E1147" s="17">
        <f>'HARGA BAHAN'!E7</f>
        <v>175000</v>
      </c>
      <c r="F1147" s="96">
        <f>+D1147*E1147</f>
        <v>4725</v>
      </c>
    </row>
    <row r="1148" spans="1:6" ht="17.25" thickBot="1" x14ac:dyDescent="0.35">
      <c r="A1148" s="27"/>
      <c r="B1148" s="28"/>
      <c r="C1148" s="29"/>
      <c r="D1148" s="30" t="s">
        <v>8</v>
      </c>
      <c r="E1148" s="31"/>
      <c r="F1148" s="32">
        <f>SUM(F1144:F1147)</f>
        <v>27495</v>
      </c>
    </row>
    <row r="1149" spans="1:6" x14ac:dyDescent="0.3">
      <c r="A1149" s="33" t="s">
        <v>9</v>
      </c>
      <c r="B1149" s="34" t="s">
        <v>133</v>
      </c>
      <c r="C1149" s="35"/>
      <c r="D1149" s="35"/>
      <c r="E1149" s="35"/>
      <c r="F1149" s="36"/>
    </row>
    <row r="1150" spans="1:6" x14ac:dyDescent="0.3">
      <c r="A1150" s="37"/>
      <c r="B1150" s="38" t="s">
        <v>618</v>
      </c>
      <c r="C1150" s="39" t="s">
        <v>177</v>
      </c>
      <c r="D1150" s="40">
        <v>1.2</v>
      </c>
      <c r="E1150" s="41">
        <f>'HARGA BAHAN'!E54</f>
        <v>50000</v>
      </c>
      <c r="F1150" s="42">
        <f>+D1150*E1150</f>
        <v>60000</v>
      </c>
    </row>
    <row r="1151" spans="1:6" x14ac:dyDescent="0.3">
      <c r="A1151" s="13"/>
      <c r="B1151" s="14" t="s">
        <v>619</v>
      </c>
      <c r="C1151" s="15" t="s">
        <v>186</v>
      </c>
      <c r="D1151" s="16">
        <v>0.05</v>
      </c>
      <c r="E1151" s="17">
        <f>'HARGA BAHAN'!E26</f>
        <v>44700</v>
      </c>
      <c r="F1151" s="18">
        <f>+D1151*E1151</f>
        <v>2235</v>
      </c>
    </row>
    <row r="1152" spans="1:6" ht="17.25" thickBot="1" x14ac:dyDescent="0.35">
      <c r="A1152" s="76"/>
      <c r="B1152" s="77" t="s">
        <v>617</v>
      </c>
      <c r="C1152" s="78" t="s">
        <v>179</v>
      </c>
      <c r="D1152" s="287">
        <v>35</v>
      </c>
      <c r="E1152" s="80">
        <f>SUM(F1150:F1151)</f>
        <v>62235</v>
      </c>
      <c r="F1152" s="71">
        <f>(D1152*E1152)/100</f>
        <v>21782.25</v>
      </c>
    </row>
    <row r="1153" spans="1:6" ht="17.25" thickBot="1" x14ac:dyDescent="0.35">
      <c r="A1153" s="27"/>
      <c r="B1153" s="43"/>
      <c r="C1153" s="43"/>
      <c r="D1153" s="44" t="s">
        <v>10</v>
      </c>
      <c r="E1153" s="43"/>
      <c r="F1153" s="32">
        <f>SUM(F1150:F1150)</f>
        <v>60000</v>
      </c>
    </row>
    <row r="1154" spans="1:6" ht="17.25" thickBot="1" x14ac:dyDescent="0.35">
      <c r="A1154" s="33" t="s">
        <v>11</v>
      </c>
      <c r="B1154" s="34" t="s">
        <v>138</v>
      </c>
      <c r="C1154" s="35"/>
      <c r="D1154" s="35"/>
      <c r="E1154" s="35"/>
      <c r="F1154" s="36"/>
    </row>
    <row r="1155" spans="1:6" ht="17.25" thickBot="1" x14ac:dyDescent="0.35">
      <c r="A1155" s="27"/>
      <c r="B1155" s="28"/>
      <c r="C1155" s="29"/>
      <c r="D1155" s="30" t="s">
        <v>12</v>
      </c>
      <c r="E1155" s="31"/>
      <c r="F1155" s="32">
        <v>0</v>
      </c>
    </row>
    <row r="1156" spans="1:6" x14ac:dyDescent="0.3">
      <c r="A1156" s="33" t="s">
        <v>13</v>
      </c>
      <c r="B1156" s="34" t="s">
        <v>14</v>
      </c>
      <c r="C1156" s="51"/>
      <c r="D1156" s="51"/>
      <c r="E1156" s="52"/>
      <c r="F1156" s="53">
        <f>+F1148+F1153+F1155</f>
        <v>87495</v>
      </c>
    </row>
    <row r="1157" spans="1:6" x14ac:dyDescent="0.3">
      <c r="A1157" s="9" t="s">
        <v>15</v>
      </c>
      <c r="B1157" s="10" t="s">
        <v>49</v>
      </c>
      <c r="C1157" s="54"/>
      <c r="D1157" s="54"/>
      <c r="E1157" s="55"/>
      <c r="F1157" s="56">
        <f>F1156*0.15</f>
        <v>13124.25</v>
      </c>
    </row>
    <row r="1158" spans="1:6" ht="17.25" thickBot="1" x14ac:dyDescent="0.35">
      <c r="A1158" s="57" t="s">
        <v>16</v>
      </c>
      <c r="B1158" s="58" t="s">
        <v>17</v>
      </c>
      <c r="C1158" s="59"/>
      <c r="D1158" s="59"/>
      <c r="E1158" s="60"/>
      <c r="F1158" s="61">
        <f>SUM(F1156:F1157)</f>
        <v>100619.25</v>
      </c>
    </row>
    <row r="1160" spans="1:6" ht="17.25" thickBot="1" x14ac:dyDescent="0.35">
      <c r="A1160" s="70" t="s">
        <v>620</v>
      </c>
      <c r="B1160" s="1" t="s">
        <v>621</v>
      </c>
      <c r="C1160" s="2"/>
      <c r="D1160" s="2"/>
      <c r="E1160" s="2"/>
      <c r="F1160" s="2"/>
    </row>
    <row r="1161" spans="1:6" ht="26.25" thickBot="1" x14ac:dyDescent="0.35">
      <c r="A1161" s="3" t="s">
        <v>2</v>
      </c>
      <c r="B1161" s="4" t="s">
        <v>3</v>
      </c>
      <c r="C1161" s="4" t="s">
        <v>0</v>
      </c>
      <c r="D1161" s="4" t="s">
        <v>4</v>
      </c>
      <c r="E1161" s="4" t="s">
        <v>5</v>
      </c>
      <c r="F1161" s="5" t="s">
        <v>6</v>
      </c>
    </row>
    <row r="1162" spans="1:6" x14ac:dyDescent="0.3">
      <c r="A1162" s="6">
        <v>1</v>
      </c>
      <c r="B1162" s="7">
        <v>2</v>
      </c>
      <c r="C1162" s="7">
        <v>3</v>
      </c>
      <c r="D1162" s="7">
        <v>4</v>
      </c>
      <c r="E1162" s="7">
        <v>5</v>
      </c>
      <c r="F1162" s="8">
        <v>6</v>
      </c>
    </row>
    <row r="1163" spans="1:6" x14ac:dyDescent="0.3">
      <c r="A1163" s="9" t="s">
        <v>1</v>
      </c>
      <c r="B1163" s="10" t="s">
        <v>128</v>
      </c>
      <c r="C1163" s="11"/>
      <c r="D1163" s="11"/>
      <c r="E1163" s="11"/>
      <c r="F1163" s="12"/>
    </row>
    <row r="1164" spans="1:6" x14ac:dyDescent="0.3">
      <c r="A1164" s="13"/>
      <c r="B1164" s="14" t="s">
        <v>129</v>
      </c>
      <c r="C1164" s="15" t="s">
        <v>7</v>
      </c>
      <c r="D1164" s="68">
        <f>0.054/2</f>
        <v>2.7E-2</v>
      </c>
      <c r="E1164" s="17">
        <f>'HARGA BAHAN'!E4</f>
        <v>125000</v>
      </c>
      <c r="F1164" s="18">
        <f>+D1164*E1164</f>
        <v>3375</v>
      </c>
    </row>
    <row r="1165" spans="1:6" x14ac:dyDescent="0.3">
      <c r="A1165" s="13"/>
      <c r="B1165" s="19" t="s">
        <v>176</v>
      </c>
      <c r="C1165" s="20" t="s">
        <v>7</v>
      </c>
      <c r="D1165" s="97">
        <f>0.09/2</f>
        <v>4.4999999999999998E-2</v>
      </c>
      <c r="E1165" s="17">
        <f>'HARGA BAHAN'!E5</f>
        <v>160000</v>
      </c>
      <c r="F1165" s="98">
        <f>+D1165*E1165</f>
        <v>7200</v>
      </c>
    </row>
    <row r="1166" spans="1:6" x14ac:dyDescent="0.3">
      <c r="A1166" s="13"/>
      <c r="B1166" s="14" t="s">
        <v>131</v>
      </c>
      <c r="C1166" s="15" t="s">
        <v>7</v>
      </c>
      <c r="D1166" s="97">
        <f>0.009/2</f>
        <v>4.4999999999999997E-3</v>
      </c>
      <c r="E1166" s="17">
        <f>'HARGA BAHAN'!E6</f>
        <v>180000</v>
      </c>
      <c r="F1166" s="18">
        <f>+D1166*E1166</f>
        <v>809.99999999999989</v>
      </c>
    </row>
    <row r="1167" spans="1:6" ht="17.25" thickBot="1" x14ac:dyDescent="0.35">
      <c r="A1167" s="23"/>
      <c r="B1167" s="24" t="s">
        <v>132</v>
      </c>
      <c r="C1167" s="25" t="s">
        <v>7</v>
      </c>
      <c r="D1167" s="69">
        <f>0.027/2</f>
        <v>1.35E-2</v>
      </c>
      <c r="E1167" s="17">
        <f>'HARGA BAHAN'!E7</f>
        <v>175000</v>
      </c>
      <c r="F1167" s="96">
        <f>+D1167*E1167</f>
        <v>2362.5</v>
      </c>
    </row>
    <row r="1168" spans="1:6" ht="17.25" thickBot="1" x14ac:dyDescent="0.35">
      <c r="A1168" s="27"/>
      <c r="B1168" s="28"/>
      <c r="C1168" s="29"/>
      <c r="D1168" s="30" t="s">
        <v>8</v>
      </c>
      <c r="E1168" s="31"/>
      <c r="F1168" s="32">
        <f>SUM(F1164:F1167)</f>
        <v>13747.5</v>
      </c>
    </row>
    <row r="1169" spans="1:6" x14ac:dyDescent="0.3">
      <c r="A1169" s="33" t="s">
        <v>9</v>
      </c>
      <c r="B1169" s="34" t="s">
        <v>133</v>
      </c>
      <c r="C1169" s="35"/>
      <c r="D1169" s="35"/>
      <c r="E1169" s="35"/>
      <c r="F1169" s="36"/>
    </row>
    <row r="1170" spans="1:6" x14ac:dyDescent="0.3">
      <c r="A1170" s="37"/>
      <c r="B1170" s="38" t="s">
        <v>622</v>
      </c>
      <c r="C1170" s="39" t="s">
        <v>177</v>
      </c>
      <c r="D1170" s="40">
        <v>1.2</v>
      </c>
      <c r="E1170" s="41">
        <f>'HARGA BAHAN'!E52</f>
        <v>31500</v>
      </c>
      <c r="F1170" s="42">
        <f>+D1170*E1170</f>
        <v>37800</v>
      </c>
    </row>
    <row r="1171" spans="1:6" x14ac:dyDescent="0.3">
      <c r="A1171" s="13"/>
      <c r="B1171" s="14" t="s">
        <v>619</v>
      </c>
      <c r="C1171" s="15" t="s">
        <v>186</v>
      </c>
      <c r="D1171" s="16">
        <v>2.5000000000000001E-2</v>
      </c>
      <c r="E1171" s="17">
        <f>'HARGA BAHAN'!E26</f>
        <v>44700</v>
      </c>
      <c r="F1171" s="18">
        <f>+D1171*E1171</f>
        <v>1117.5</v>
      </c>
    </row>
    <row r="1172" spans="1:6" ht="17.25" thickBot="1" x14ac:dyDescent="0.35">
      <c r="A1172" s="76"/>
      <c r="B1172" s="77" t="s">
        <v>617</v>
      </c>
      <c r="C1172" s="78" t="s">
        <v>179</v>
      </c>
      <c r="D1172" s="287">
        <v>35</v>
      </c>
      <c r="E1172" s="80">
        <f>SUM(F1170:F1171)</f>
        <v>38917.5</v>
      </c>
      <c r="F1172" s="71">
        <f>(D1172*E1172)/100</f>
        <v>13621.125</v>
      </c>
    </row>
    <row r="1173" spans="1:6" ht="17.25" thickBot="1" x14ac:dyDescent="0.35">
      <c r="A1173" s="27"/>
      <c r="B1173" s="43"/>
      <c r="C1173" s="43"/>
      <c r="D1173" s="44" t="s">
        <v>10</v>
      </c>
      <c r="E1173" s="43"/>
      <c r="F1173" s="32">
        <f>SUM(F1170:F1170)</f>
        <v>37800</v>
      </c>
    </row>
    <row r="1174" spans="1:6" ht="17.25" thickBot="1" x14ac:dyDescent="0.35">
      <c r="A1174" s="33" t="s">
        <v>11</v>
      </c>
      <c r="B1174" s="34" t="s">
        <v>138</v>
      </c>
      <c r="C1174" s="35"/>
      <c r="D1174" s="35"/>
      <c r="E1174" s="35"/>
      <c r="F1174" s="36"/>
    </row>
    <row r="1175" spans="1:6" ht="17.25" thickBot="1" x14ac:dyDescent="0.35">
      <c r="A1175" s="27"/>
      <c r="B1175" s="28"/>
      <c r="C1175" s="29"/>
      <c r="D1175" s="30" t="s">
        <v>12</v>
      </c>
      <c r="E1175" s="31"/>
      <c r="F1175" s="32">
        <v>0</v>
      </c>
    </row>
    <row r="1176" spans="1:6" x14ac:dyDescent="0.3">
      <c r="A1176" s="33" t="s">
        <v>13</v>
      </c>
      <c r="B1176" s="34" t="s">
        <v>14</v>
      </c>
      <c r="C1176" s="51"/>
      <c r="D1176" s="51"/>
      <c r="E1176" s="52"/>
      <c r="F1176" s="53">
        <f>+F1168+F1173+F1175</f>
        <v>51547.5</v>
      </c>
    </row>
    <row r="1177" spans="1:6" x14ac:dyDescent="0.3">
      <c r="A1177" s="9" t="s">
        <v>15</v>
      </c>
      <c r="B1177" s="10" t="s">
        <v>49</v>
      </c>
      <c r="C1177" s="54"/>
      <c r="D1177" s="54"/>
      <c r="E1177" s="55"/>
      <c r="F1177" s="56">
        <f>F1176*0.15</f>
        <v>7732.125</v>
      </c>
    </row>
    <row r="1178" spans="1:6" ht="17.25" thickBot="1" x14ac:dyDescent="0.35">
      <c r="A1178" s="57" t="s">
        <v>16</v>
      </c>
      <c r="B1178" s="58" t="s">
        <v>17</v>
      </c>
      <c r="C1178" s="59"/>
      <c r="D1178" s="59"/>
      <c r="E1178" s="60"/>
      <c r="F1178" s="61">
        <f>SUM(F1176:F1177)</f>
        <v>59279.625</v>
      </c>
    </row>
    <row r="1180" spans="1:6" x14ac:dyDescent="0.3">
      <c r="A1180" s="70" t="s">
        <v>623</v>
      </c>
      <c r="B1180" s="70" t="s">
        <v>626</v>
      </c>
    </row>
    <row r="1181" spans="1:6" ht="17.25" thickBot="1" x14ac:dyDescent="0.35">
      <c r="A1181" s="70"/>
      <c r="B1181" s="1" t="s">
        <v>624</v>
      </c>
      <c r="C1181" s="2"/>
      <c r="D1181" s="2"/>
      <c r="E1181" s="2"/>
      <c r="F1181" s="2"/>
    </row>
    <row r="1182" spans="1:6" ht="26.25" thickBot="1" x14ac:dyDescent="0.35">
      <c r="A1182" s="3" t="s">
        <v>2</v>
      </c>
      <c r="B1182" s="4" t="s">
        <v>3</v>
      </c>
      <c r="C1182" s="4" t="s">
        <v>0</v>
      </c>
      <c r="D1182" s="4" t="s">
        <v>4</v>
      </c>
      <c r="E1182" s="4" t="s">
        <v>5</v>
      </c>
      <c r="F1182" s="5" t="s">
        <v>6</v>
      </c>
    </row>
    <row r="1183" spans="1:6" x14ac:dyDescent="0.3">
      <c r="A1183" s="6">
        <v>1</v>
      </c>
      <c r="B1183" s="7">
        <v>2</v>
      </c>
      <c r="C1183" s="7">
        <v>3</v>
      </c>
      <c r="D1183" s="7">
        <v>4</v>
      </c>
      <c r="E1183" s="7">
        <v>5</v>
      </c>
      <c r="F1183" s="8">
        <v>6</v>
      </c>
    </row>
    <row r="1184" spans="1:6" x14ac:dyDescent="0.3">
      <c r="A1184" s="9" t="s">
        <v>1</v>
      </c>
      <c r="B1184" s="10" t="s">
        <v>128</v>
      </c>
      <c r="C1184" s="11"/>
      <c r="D1184" s="11"/>
      <c r="E1184" s="11"/>
      <c r="F1184" s="12"/>
    </row>
    <row r="1185" spans="1:6" x14ac:dyDescent="0.3">
      <c r="A1185" s="13"/>
      <c r="B1185" s="14" t="s">
        <v>129</v>
      </c>
      <c r="C1185" s="15" t="s">
        <v>7</v>
      </c>
      <c r="D1185" s="68">
        <v>5.3999999999999999E-2</v>
      </c>
      <c r="E1185" s="17">
        <f>'HARGA BAHAN'!E4</f>
        <v>125000</v>
      </c>
      <c r="F1185" s="18">
        <f>+D1185*E1185</f>
        <v>6750</v>
      </c>
    </row>
    <row r="1186" spans="1:6" x14ac:dyDescent="0.3">
      <c r="A1186" s="13"/>
      <c r="B1186" s="19" t="s">
        <v>176</v>
      </c>
      <c r="C1186" s="20" t="s">
        <v>7</v>
      </c>
      <c r="D1186" s="97">
        <v>0.09</v>
      </c>
      <c r="E1186" s="17">
        <f>'HARGA BAHAN'!E5</f>
        <v>160000</v>
      </c>
      <c r="F1186" s="98">
        <f>+D1186*E1186</f>
        <v>14400</v>
      </c>
    </row>
    <row r="1187" spans="1:6" x14ac:dyDescent="0.3">
      <c r="A1187" s="13"/>
      <c r="B1187" s="14" t="s">
        <v>131</v>
      </c>
      <c r="C1187" s="15" t="s">
        <v>7</v>
      </c>
      <c r="D1187" s="97">
        <v>8.9999999999999993E-3</v>
      </c>
      <c r="E1187" s="17">
        <f>'HARGA BAHAN'!E6</f>
        <v>180000</v>
      </c>
      <c r="F1187" s="18">
        <f>+D1187*E1187</f>
        <v>1619.9999999999998</v>
      </c>
    </row>
    <row r="1188" spans="1:6" ht="17.25" thickBot="1" x14ac:dyDescent="0.35">
      <c r="A1188" s="23"/>
      <c r="B1188" s="24" t="s">
        <v>132</v>
      </c>
      <c r="C1188" s="25" t="s">
        <v>7</v>
      </c>
      <c r="D1188" s="69">
        <v>2.7E-2</v>
      </c>
      <c r="E1188" s="17">
        <f>'HARGA BAHAN'!E7</f>
        <v>175000</v>
      </c>
      <c r="F1188" s="96">
        <f>+D1188*E1188</f>
        <v>4725</v>
      </c>
    </row>
    <row r="1189" spans="1:6" ht="17.25" thickBot="1" x14ac:dyDescent="0.35">
      <c r="A1189" s="27"/>
      <c r="B1189" s="28"/>
      <c r="C1189" s="29"/>
      <c r="D1189" s="30" t="s">
        <v>8</v>
      </c>
      <c r="E1189" s="31"/>
      <c r="F1189" s="32">
        <f>SUM(F1185:F1188)</f>
        <v>27495</v>
      </c>
    </row>
    <row r="1190" spans="1:6" x14ac:dyDescent="0.3">
      <c r="A1190" s="33" t="s">
        <v>9</v>
      </c>
      <c r="B1190" s="34" t="s">
        <v>133</v>
      </c>
      <c r="C1190" s="35"/>
      <c r="D1190" s="35"/>
      <c r="E1190" s="35"/>
      <c r="F1190" s="36"/>
    </row>
    <row r="1191" spans="1:6" x14ac:dyDescent="0.3">
      <c r="A1191" s="37"/>
      <c r="B1191" s="38" t="s">
        <v>625</v>
      </c>
      <c r="C1191" s="39" t="s">
        <v>177</v>
      </c>
      <c r="D1191" s="40">
        <v>1.2</v>
      </c>
      <c r="E1191" s="41">
        <f>'HARGA BAHAN'!E56</f>
        <v>150000</v>
      </c>
      <c r="F1191" s="42">
        <f>+D1191*E1191</f>
        <v>180000</v>
      </c>
    </row>
    <row r="1192" spans="1:6" x14ac:dyDescent="0.3">
      <c r="A1192" s="13"/>
      <c r="B1192" s="14" t="s">
        <v>619</v>
      </c>
      <c r="C1192" s="15" t="s">
        <v>186</v>
      </c>
      <c r="D1192" s="16">
        <v>0.1</v>
      </c>
      <c r="E1192" s="17">
        <f>'HARGA BAHAN'!E26</f>
        <v>44700</v>
      </c>
      <c r="F1192" s="18">
        <f>+D1192*E1192</f>
        <v>4470</v>
      </c>
    </row>
    <row r="1193" spans="1:6" ht="17.25" thickBot="1" x14ac:dyDescent="0.35">
      <c r="A1193" s="76"/>
      <c r="B1193" s="77" t="s">
        <v>617</v>
      </c>
      <c r="C1193" s="78" t="s">
        <v>179</v>
      </c>
      <c r="D1193" s="287">
        <v>35</v>
      </c>
      <c r="E1193" s="80">
        <f>SUM(F1191:F1192)</f>
        <v>184470</v>
      </c>
      <c r="F1193" s="71">
        <f>(D1193*E1193)/100</f>
        <v>64564.5</v>
      </c>
    </row>
    <row r="1194" spans="1:6" ht="17.25" thickBot="1" x14ac:dyDescent="0.35">
      <c r="A1194" s="27"/>
      <c r="B1194" s="43"/>
      <c r="C1194" s="43"/>
      <c r="D1194" s="44" t="s">
        <v>10</v>
      </c>
      <c r="E1194" s="43"/>
      <c r="F1194" s="32">
        <f>SUM(F1191:F1191)</f>
        <v>180000</v>
      </c>
    </row>
    <row r="1195" spans="1:6" ht="17.25" thickBot="1" x14ac:dyDescent="0.35">
      <c r="A1195" s="33" t="s">
        <v>11</v>
      </c>
      <c r="B1195" s="34" t="s">
        <v>138</v>
      </c>
      <c r="C1195" s="35"/>
      <c r="D1195" s="35"/>
      <c r="E1195" s="35"/>
      <c r="F1195" s="36"/>
    </row>
    <row r="1196" spans="1:6" ht="17.25" thickBot="1" x14ac:dyDescent="0.35">
      <c r="A1196" s="27"/>
      <c r="B1196" s="28"/>
      <c r="C1196" s="29"/>
      <c r="D1196" s="30" t="s">
        <v>12</v>
      </c>
      <c r="E1196" s="31"/>
      <c r="F1196" s="32">
        <v>0</v>
      </c>
    </row>
    <row r="1197" spans="1:6" x14ac:dyDescent="0.3">
      <c r="A1197" s="33" t="s">
        <v>13</v>
      </c>
      <c r="B1197" s="34" t="s">
        <v>14</v>
      </c>
      <c r="C1197" s="51"/>
      <c r="D1197" s="51"/>
      <c r="E1197" s="52"/>
      <c r="F1197" s="53">
        <f>+F1189+F1194+F1196</f>
        <v>207495</v>
      </c>
    </row>
    <row r="1198" spans="1:6" x14ac:dyDescent="0.3">
      <c r="A1198" s="9" t="s">
        <v>15</v>
      </c>
      <c r="B1198" s="10" t="s">
        <v>49</v>
      </c>
      <c r="C1198" s="54"/>
      <c r="D1198" s="54"/>
      <c r="E1198" s="55"/>
      <c r="F1198" s="56">
        <f>F1197*0.15</f>
        <v>31124.25</v>
      </c>
    </row>
    <row r="1199" spans="1:6" ht="17.25" thickBot="1" x14ac:dyDescent="0.35">
      <c r="A1199" s="57" t="s">
        <v>16</v>
      </c>
      <c r="B1199" s="58" t="s">
        <v>17</v>
      </c>
      <c r="C1199" s="59"/>
      <c r="D1199" s="59"/>
      <c r="E1199" s="60"/>
      <c r="F1199" s="61">
        <f>SUM(F1197:F1198)</f>
        <v>238619.25</v>
      </c>
    </row>
    <row r="1201" spans="1:6" ht="17.25" thickBot="1" x14ac:dyDescent="0.35">
      <c r="A1201" s="70" t="s">
        <v>547</v>
      </c>
      <c r="B1201" s="1" t="s">
        <v>548</v>
      </c>
      <c r="C1201" s="2"/>
      <c r="D1201" s="2"/>
      <c r="E1201" s="2"/>
      <c r="F1201" s="2"/>
    </row>
    <row r="1202" spans="1:6" ht="26.25" thickBot="1" x14ac:dyDescent="0.35">
      <c r="A1202" s="3" t="s">
        <v>2</v>
      </c>
      <c r="B1202" s="4" t="s">
        <v>3</v>
      </c>
      <c r="C1202" s="4" t="s">
        <v>0</v>
      </c>
      <c r="D1202" s="4" t="s">
        <v>4</v>
      </c>
      <c r="E1202" s="4" t="s">
        <v>5</v>
      </c>
      <c r="F1202" s="5" t="s">
        <v>6</v>
      </c>
    </row>
    <row r="1203" spans="1:6" x14ac:dyDescent="0.3">
      <c r="A1203" s="6">
        <v>1</v>
      </c>
      <c r="B1203" s="7">
        <v>2</v>
      </c>
      <c r="C1203" s="7">
        <v>3</v>
      </c>
      <c r="D1203" s="7">
        <v>4</v>
      </c>
      <c r="E1203" s="7">
        <v>5</v>
      </c>
      <c r="F1203" s="8">
        <v>6</v>
      </c>
    </row>
    <row r="1204" spans="1:6" x14ac:dyDescent="0.3">
      <c r="A1204" s="9" t="s">
        <v>1</v>
      </c>
      <c r="B1204" s="10" t="s">
        <v>128</v>
      </c>
      <c r="C1204" s="11"/>
      <c r="D1204" s="11"/>
      <c r="E1204" s="11"/>
      <c r="F1204" s="12"/>
    </row>
    <row r="1205" spans="1:6" x14ac:dyDescent="0.3">
      <c r="A1205" s="13"/>
      <c r="B1205" s="14" t="s">
        <v>129</v>
      </c>
      <c r="C1205" s="15" t="s">
        <v>7</v>
      </c>
      <c r="D1205" s="68">
        <v>1.2</v>
      </c>
      <c r="E1205" s="17">
        <f>'HARGA BAHAN'!E4</f>
        <v>125000</v>
      </c>
      <c r="F1205" s="18">
        <f>+D1205*E1205</f>
        <v>150000</v>
      </c>
    </row>
    <row r="1206" spans="1:6" x14ac:dyDescent="0.3">
      <c r="A1206" s="13"/>
      <c r="B1206" s="19" t="s">
        <v>176</v>
      </c>
      <c r="C1206" s="20" t="s">
        <v>7</v>
      </c>
      <c r="D1206" s="97">
        <v>1.45</v>
      </c>
      <c r="E1206" s="17">
        <f>'HARGA BAHAN'!E5</f>
        <v>160000</v>
      </c>
      <c r="F1206" s="98">
        <f>+D1206*E1206</f>
        <v>232000</v>
      </c>
    </row>
    <row r="1207" spans="1:6" x14ac:dyDescent="0.3">
      <c r="A1207" s="13"/>
      <c r="B1207" s="14" t="s">
        <v>131</v>
      </c>
      <c r="C1207" s="15" t="s">
        <v>7</v>
      </c>
      <c r="D1207" s="97">
        <v>0.15</v>
      </c>
      <c r="E1207" s="17">
        <f>'HARGA BAHAN'!E6</f>
        <v>180000</v>
      </c>
      <c r="F1207" s="18">
        <f>+D1207*E1207</f>
        <v>27000</v>
      </c>
    </row>
    <row r="1208" spans="1:6" ht="17.25" thickBot="1" x14ac:dyDescent="0.35">
      <c r="A1208" s="23"/>
      <c r="B1208" s="24" t="s">
        <v>132</v>
      </c>
      <c r="C1208" s="25" t="s">
        <v>7</v>
      </c>
      <c r="D1208" s="69">
        <v>0.06</v>
      </c>
      <c r="E1208" s="17">
        <f>'HARGA BAHAN'!E7</f>
        <v>175000</v>
      </c>
      <c r="F1208" s="96">
        <f>+D1208*E1208</f>
        <v>10500</v>
      </c>
    </row>
    <row r="1209" spans="1:6" ht="17.25" thickBot="1" x14ac:dyDescent="0.35">
      <c r="A1209" s="27"/>
      <c r="B1209" s="28"/>
      <c r="C1209" s="29"/>
      <c r="D1209" s="30" t="s">
        <v>8</v>
      </c>
      <c r="E1209" s="31"/>
      <c r="F1209" s="32">
        <f>SUM(F1205:F1208)</f>
        <v>419500</v>
      </c>
    </row>
    <row r="1210" spans="1:6" x14ac:dyDescent="0.3">
      <c r="A1210" s="33" t="s">
        <v>9</v>
      </c>
      <c r="B1210" s="34" t="s">
        <v>133</v>
      </c>
      <c r="C1210" s="35"/>
      <c r="D1210" s="35"/>
      <c r="E1210" s="35"/>
      <c r="F1210" s="36"/>
    </row>
    <row r="1211" spans="1:6" x14ac:dyDescent="0.3">
      <c r="A1211" s="37"/>
      <c r="B1211" s="38" t="s">
        <v>549</v>
      </c>
      <c r="C1211" s="39" t="s">
        <v>206</v>
      </c>
      <c r="D1211" s="40">
        <v>1</v>
      </c>
      <c r="E1211" s="41">
        <f>'HARGA BAHAN'!E106</f>
        <v>800000</v>
      </c>
      <c r="F1211" s="42">
        <f>+D1211*E1211</f>
        <v>800000</v>
      </c>
    </row>
    <row r="1212" spans="1:6" x14ac:dyDescent="0.3">
      <c r="A1212" s="67"/>
      <c r="B1212" s="19" t="s">
        <v>550</v>
      </c>
      <c r="C1212" s="20" t="s">
        <v>186</v>
      </c>
      <c r="D1212" s="21">
        <v>6</v>
      </c>
      <c r="E1212" s="22">
        <f>'HARGA BAHAN'!E13</f>
        <v>2000</v>
      </c>
      <c r="F1212" s="18">
        <f t="shared" ref="F1212:F1213" si="29">+D1212*E1212</f>
        <v>12000</v>
      </c>
    </row>
    <row r="1213" spans="1:6" x14ac:dyDescent="0.3">
      <c r="A1213" s="67"/>
      <c r="B1213" s="19" t="s">
        <v>551</v>
      </c>
      <c r="C1213" s="20" t="s">
        <v>187</v>
      </c>
      <c r="D1213" s="21">
        <v>0.01</v>
      </c>
      <c r="E1213" s="22">
        <f>'HARGA BAHAN'!E15</f>
        <v>210000</v>
      </c>
      <c r="F1213" s="18">
        <f t="shared" si="29"/>
        <v>2100</v>
      </c>
    </row>
    <row r="1214" spans="1:6" ht="17.25" thickBot="1" x14ac:dyDescent="0.35">
      <c r="A1214" s="13"/>
      <c r="B1214" s="14" t="s">
        <v>178</v>
      </c>
      <c r="C1214" s="15" t="s">
        <v>179</v>
      </c>
      <c r="D1214" s="16">
        <v>12</v>
      </c>
      <c r="E1214" s="17">
        <f>SUM(F1211:F1213)</f>
        <v>814100</v>
      </c>
      <c r="F1214" s="18">
        <f>(+D1214*E1214)/100</f>
        <v>97692</v>
      </c>
    </row>
    <row r="1215" spans="1:6" ht="17.25" thickBot="1" x14ac:dyDescent="0.35">
      <c r="A1215" s="27"/>
      <c r="B1215" s="43"/>
      <c r="C1215" s="43"/>
      <c r="D1215" s="44" t="s">
        <v>10</v>
      </c>
      <c r="E1215" s="43"/>
      <c r="F1215" s="32">
        <f>SUM(F1211:F1214)</f>
        <v>911792</v>
      </c>
    </row>
    <row r="1216" spans="1:6" ht="17.25" thickBot="1" x14ac:dyDescent="0.35">
      <c r="A1216" s="33" t="s">
        <v>11</v>
      </c>
      <c r="B1216" s="34" t="s">
        <v>138</v>
      </c>
      <c r="C1216" s="35"/>
      <c r="D1216" s="35"/>
      <c r="E1216" s="35"/>
      <c r="F1216" s="36"/>
    </row>
    <row r="1217" spans="1:6" ht="17.25" thickBot="1" x14ac:dyDescent="0.35">
      <c r="A1217" s="27"/>
      <c r="B1217" s="28"/>
      <c r="C1217" s="29"/>
      <c r="D1217" s="30" t="s">
        <v>12</v>
      </c>
      <c r="E1217" s="31"/>
      <c r="F1217" s="32">
        <v>0</v>
      </c>
    </row>
    <row r="1218" spans="1:6" x14ac:dyDescent="0.3">
      <c r="A1218" s="33" t="s">
        <v>13</v>
      </c>
      <c r="B1218" s="34" t="s">
        <v>14</v>
      </c>
      <c r="C1218" s="51"/>
      <c r="D1218" s="51"/>
      <c r="E1218" s="52"/>
      <c r="F1218" s="53">
        <f>+F1209+F1215+F1217</f>
        <v>1331292</v>
      </c>
    </row>
    <row r="1219" spans="1:6" x14ac:dyDescent="0.3">
      <c r="A1219" s="9" t="s">
        <v>15</v>
      </c>
      <c r="B1219" s="10" t="s">
        <v>49</v>
      </c>
      <c r="C1219" s="54"/>
      <c r="D1219" s="54"/>
      <c r="E1219" s="55"/>
      <c r="F1219" s="56">
        <f>F1218*0.15</f>
        <v>199693.8</v>
      </c>
    </row>
    <row r="1220" spans="1:6" ht="17.25" thickBot="1" x14ac:dyDescent="0.35">
      <c r="A1220" s="57" t="s">
        <v>16</v>
      </c>
      <c r="B1220" s="58" t="s">
        <v>17</v>
      </c>
      <c r="C1220" s="59"/>
      <c r="D1220" s="59"/>
      <c r="E1220" s="60"/>
      <c r="F1220" s="61">
        <f>SUM(F1218:F1219)</f>
        <v>1530985.8</v>
      </c>
    </row>
    <row r="1222" spans="1:6" ht="17.25" thickBot="1" x14ac:dyDescent="0.35">
      <c r="A1222" s="70" t="s">
        <v>531</v>
      </c>
      <c r="B1222" s="1" t="s">
        <v>532</v>
      </c>
      <c r="C1222" s="2"/>
      <c r="D1222" s="2"/>
      <c r="E1222" s="2"/>
      <c r="F1222" s="2"/>
    </row>
    <row r="1223" spans="1:6" ht="26.25" thickBot="1" x14ac:dyDescent="0.35">
      <c r="A1223" s="3" t="s">
        <v>2</v>
      </c>
      <c r="B1223" s="4" t="s">
        <v>3</v>
      </c>
      <c r="C1223" s="4" t="s">
        <v>0</v>
      </c>
      <c r="D1223" s="4" t="s">
        <v>4</v>
      </c>
      <c r="E1223" s="4" t="s">
        <v>5</v>
      </c>
      <c r="F1223" s="5" t="s">
        <v>6</v>
      </c>
    </row>
    <row r="1224" spans="1:6" x14ac:dyDescent="0.3">
      <c r="A1224" s="6">
        <v>1</v>
      </c>
      <c r="B1224" s="7">
        <v>2</v>
      </c>
      <c r="C1224" s="7">
        <v>3</v>
      </c>
      <c r="D1224" s="7">
        <v>4</v>
      </c>
      <c r="E1224" s="7">
        <v>5</v>
      </c>
      <c r="F1224" s="8">
        <v>6</v>
      </c>
    </row>
    <row r="1225" spans="1:6" x14ac:dyDescent="0.3">
      <c r="A1225" s="9" t="s">
        <v>540</v>
      </c>
      <c r="B1225" s="10" t="s">
        <v>533</v>
      </c>
      <c r="C1225" s="11"/>
      <c r="D1225" s="11"/>
      <c r="E1225" s="11"/>
      <c r="F1225" s="12"/>
    </row>
    <row r="1226" spans="1:6" x14ac:dyDescent="0.3">
      <c r="A1226" s="13" t="str">
        <f>A21</f>
        <v>A.2.3.1.1</v>
      </c>
      <c r="B1226" s="14" t="s">
        <v>534</v>
      </c>
      <c r="C1226" s="15" t="s">
        <v>207</v>
      </c>
      <c r="D1226" s="68">
        <v>6</v>
      </c>
      <c r="E1226" s="17">
        <f>F36</f>
        <v>112412.5</v>
      </c>
      <c r="F1226" s="18">
        <f t="shared" ref="F1226:F1232" si="30">+D1226*E1226</f>
        <v>674475</v>
      </c>
    </row>
    <row r="1227" spans="1:6" x14ac:dyDescent="0.3">
      <c r="A1227" s="13" t="str">
        <f>A270</f>
        <v>A.4.4.1.7</v>
      </c>
      <c r="B1227" s="19" t="s">
        <v>535</v>
      </c>
      <c r="C1227" s="20" t="s">
        <v>166</v>
      </c>
      <c r="D1227" s="97">
        <v>13.299999999999999</v>
      </c>
      <c r="E1227" s="17">
        <f>F289</f>
        <v>199875.75</v>
      </c>
      <c r="F1227" s="98">
        <f t="shared" si="30"/>
        <v>2658347.4749999996</v>
      </c>
    </row>
    <row r="1228" spans="1:6" x14ac:dyDescent="0.3">
      <c r="A1228" s="13" t="str">
        <f>A536</f>
        <v>A.4.4.2.4</v>
      </c>
      <c r="B1228" s="19" t="s">
        <v>536</v>
      </c>
      <c r="C1228" s="20" t="s">
        <v>166</v>
      </c>
      <c r="D1228" s="97">
        <v>12.16</v>
      </c>
      <c r="E1228" s="17">
        <f>F554</f>
        <v>110716.25</v>
      </c>
      <c r="F1228" s="98">
        <f t="shared" si="30"/>
        <v>1346309.6</v>
      </c>
    </row>
    <row r="1229" spans="1:6" x14ac:dyDescent="0.3">
      <c r="A1229" s="13" t="str">
        <f>A401</f>
        <v>A.4.4.1.24</v>
      </c>
      <c r="B1229" s="14" t="s">
        <v>537</v>
      </c>
      <c r="C1229" s="15" t="s">
        <v>166</v>
      </c>
      <c r="D1229" s="68">
        <v>3</v>
      </c>
      <c r="E1229" s="17">
        <f>F423</f>
        <v>1429064.75</v>
      </c>
      <c r="F1229" s="18">
        <f t="shared" si="30"/>
        <v>4287194.25</v>
      </c>
    </row>
    <row r="1230" spans="1:6" x14ac:dyDescent="0.3">
      <c r="A1230" s="13" t="str">
        <f>A167</f>
        <v>A.4.1.1.17</v>
      </c>
      <c r="B1230" s="19" t="s">
        <v>538</v>
      </c>
      <c r="C1230" s="20" t="s">
        <v>19</v>
      </c>
      <c r="D1230" s="97">
        <v>24.66</v>
      </c>
      <c r="E1230" s="17">
        <f>F186</f>
        <v>24772.15</v>
      </c>
      <c r="F1230" s="98">
        <f t="shared" si="30"/>
        <v>610881.21900000004</v>
      </c>
    </row>
    <row r="1231" spans="1:6" x14ac:dyDescent="0.3">
      <c r="A1231" s="13" t="str">
        <f>A188</f>
        <v>A.4.1.1.7a</v>
      </c>
      <c r="B1231" s="14" t="s">
        <v>539</v>
      </c>
      <c r="C1231" s="15" t="s">
        <v>207</v>
      </c>
      <c r="D1231" s="97">
        <v>0.30000000000000004</v>
      </c>
      <c r="E1231" s="17">
        <f>F208</f>
        <v>1608855.75</v>
      </c>
      <c r="F1231" s="18">
        <f t="shared" si="30"/>
        <v>482656.72500000009</v>
      </c>
    </row>
    <row r="1232" spans="1:6" ht="17.25" thickBot="1" x14ac:dyDescent="0.35">
      <c r="A1232" s="13" t="s">
        <v>33</v>
      </c>
      <c r="B1232" s="119" t="s">
        <v>541</v>
      </c>
      <c r="C1232" s="20" t="s">
        <v>33</v>
      </c>
      <c r="D1232" s="97">
        <v>1</v>
      </c>
      <c r="E1232" s="17">
        <v>38000</v>
      </c>
      <c r="F1232" s="98">
        <f t="shared" si="30"/>
        <v>38000</v>
      </c>
    </row>
    <row r="1233" spans="1:6" ht="17.25" thickBot="1" x14ac:dyDescent="0.35">
      <c r="A1233" s="27"/>
      <c r="B1233" s="28"/>
      <c r="C1233" s="29"/>
      <c r="D1233" s="30" t="s">
        <v>544</v>
      </c>
      <c r="E1233" s="31"/>
      <c r="F1233" s="32">
        <f>SUM(F1226:F1232)</f>
        <v>10097864.268999999</v>
      </c>
    </row>
    <row r="1234" spans="1:6" x14ac:dyDescent="0.3">
      <c r="A1234" s="33" t="s">
        <v>9</v>
      </c>
      <c r="B1234" s="34" t="s">
        <v>543</v>
      </c>
      <c r="C1234" s="51"/>
      <c r="D1234" s="51"/>
      <c r="E1234" s="52"/>
      <c r="F1234" s="53">
        <f>F1233</f>
        <v>10097864.268999999</v>
      </c>
    </row>
    <row r="1235" spans="1:6" x14ac:dyDescent="0.3">
      <c r="A1235" s="9" t="s">
        <v>11</v>
      </c>
      <c r="B1235" s="10" t="s">
        <v>542</v>
      </c>
      <c r="C1235" s="54"/>
      <c r="D1235" s="54"/>
      <c r="E1235" s="55"/>
      <c r="F1235" s="56">
        <v>0</v>
      </c>
    </row>
    <row r="1236" spans="1:6" ht="17.25" thickBot="1" x14ac:dyDescent="0.35">
      <c r="A1236" s="57" t="s">
        <v>13</v>
      </c>
      <c r="B1236" s="58" t="s">
        <v>17</v>
      </c>
      <c r="C1236" s="59"/>
      <c r="D1236" s="59"/>
      <c r="E1236" s="60"/>
      <c r="F1236" s="61">
        <f>SUM(F1234:F1235)</f>
        <v>10097864.268999999</v>
      </c>
    </row>
    <row r="1238" spans="1:6" ht="17.25" thickBot="1" x14ac:dyDescent="0.35">
      <c r="A1238" s="70" t="s">
        <v>189</v>
      </c>
      <c r="B1238" s="1" t="s">
        <v>299</v>
      </c>
      <c r="C1238" s="2"/>
      <c r="D1238" s="2"/>
      <c r="E1238" s="2"/>
      <c r="F1238" s="2"/>
    </row>
    <row r="1239" spans="1:6" ht="26.25" thickBot="1" x14ac:dyDescent="0.35">
      <c r="A1239" s="3" t="s">
        <v>2</v>
      </c>
      <c r="B1239" s="4" t="s">
        <v>3</v>
      </c>
      <c r="C1239" s="4" t="s">
        <v>0</v>
      </c>
      <c r="D1239" s="4" t="s">
        <v>4</v>
      </c>
      <c r="E1239" s="4" t="s">
        <v>5</v>
      </c>
      <c r="F1239" s="5" t="s">
        <v>6</v>
      </c>
    </row>
    <row r="1240" spans="1:6" x14ac:dyDescent="0.3">
      <c r="A1240" s="6">
        <v>1</v>
      </c>
      <c r="B1240" s="7">
        <v>2</v>
      </c>
      <c r="C1240" s="7">
        <v>3</v>
      </c>
      <c r="D1240" s="7">
        <v>4</v>
      </c>
      <c r="E1240" s="7">
        <v>5</v>
      </c>
      <c r="F1240" s="8">
        <v>6</v>
      </c>
    </row>
    <row r="1241" spans="1:6" x14ac:dyDescent="0.3">
      <c r="A1241" s="9" t="s">
        <v>1</v>
      </c>
      <c r="B1241" s="10" t="s">
        <v>69</v>
      </c>
      <c r="C1241" s="11"/>
      <c r="D1241" s="11"/>
      <c r="E1241" s="11"/>
      <c r="F1241" s="12"/>
    </row>
    <row r="1242" spans="1:6" ht="17.25" thickBot="1" x14ac:dyDescent="0.35">
      <c r="A1242" s="13"/>
      <c r="B1242" s="14" t="s">
        <v>197</v>
      </c>
      <c r="C1242" s="15" t="s">
        <v>179</v>
      </c>
      <c r="D1242" s="16">
        <v>100</v>
      </c>
      <c r="E1242" s="17">
        <f>'HARGA BAHAN'!E4</f>
        <v>125000</v>
      </c>
      <c r="F1242" s="18">
        <f>D1242*E1242/100</f>
        <v>125000</v>
      </c>
    </row>
    <row r="1243" spans="1:6" ht="17.25" thickBot="1" x14ac:dyDescent="0.35">
      <c r="A1243" s="27"/>
      <c r="B1243" s="28"/>
      <c r="C1243" s="29"/>
      <c r="D1243" s="30" t="s">
        <v>8</v>
      </c>
      <c r="E1243" s="31"/>
      <c r="F1243" s="32">
        <f>SUM(F1242:F1242)</f>
        <v>125000</v>
      </c>
    </row>
    <row r="1244" spans="1:6" x14ac:dyDescent="0.3">
      <c r="A1244" s="33" t="s">
        <v>9</v>
      </c>
      <c r="B1244" s="34" t="s">
        <v>70</v>
      </c>
      <c r="C1244" s="35"/>
      <c r="D1244" s="35"/>
      <c r="E1244" s="35"/>
      <c r="F1244" s="36"/>
    </row>
    <row r="1245" spans="1:6" x14ac:dyDescent="0.3">
      <c r="A1245" s="37"/>
      <c r="B1245" s="38" t="s">
        <v>301</v>
      </c>
      <c r="C1245" s="39" t="s">
        <v>23</v>
      </c>
      <c r="D1245" s="40">
        <v>3</v>
      </c>
      <c r="E1245" s="41">
        <f>'HARGA BAHAN'!E115</f>
        <v>23000</v>
      </c>
      <c r="F1245" s="42">
        <f>+D1245*E1245</f>
        <v>69000</v>
      </c>
    </row>
    <row r="1246" spans="1:6" x14ac:dyDescent="0.3">
      <c r="A1246" s="13"/>
      <c r="B1246" s="14" t="s">
        <v>190</v>
      </c>
      <c r="C1246" s="15" t="s">
        <v>63</v>
      </c>
      <c r="D1246" s="16">
        <v>6</v>
      </c>
      <c r="E1246" s="17">
        <f>'HARGA BAHAN'!E116</f>
        <v>12500</v>
      </c>
      <c r="F1246" s="18">
        <f>+D1246*E1246</f>
        <v>75000</v>
      </c>
    </row>
    <row r="1247" spans="1:6" x14ac:dyDescent="0.3">
      <c r="A1247" s="13"/>
      <c r="B1247" s="14" t="s">
        <v>191</v>
      </c>
      <c r="C1247" s="15" t="s">
        <v>18</v>
      </c>
      <c r="D1247" s="16">
        <v>3</v>
      </c>
      <c r="E1247" s="17">
        <f>'HARGA BAHAN'!E117</f>
        <v>14000</v>
      </c>
      <c r="F1247" s="18">
        <f t="shared" ref="F1247:F1251" si="31">+D1247*E1247</f>
        <v>42000</v>
      </c>
    </row>
    <row r="1248" spans="1:6" x14ac:dyDescent="0.3">
      <c r="A1248" s="13"/>
      <c r="B1248" s="14" t="s">
        <v>192</v>
      </c>
      <c r="C1248" s="15" t="s">
        <v>18</v>
      </c>
      <c r="D1248" s="16">
        <v>4</v>
      </c>
      <c r="E1248" s="17">
        <f>'HARGA BAHAN'!E118</f>
        <v>2800</v>
      </c>
      <c r="F1248" s="18">
        <f t="shared" si="31"/>
        <v>11200</v>
      </c>
    </row>
    <row r="1249" spans="1:6" x14ac:dyDescent="0.3">
      <c r="A1249" s="13"/>
      <c r="B1249" s="14" t="s">
        <v>193</v>
      </c>
      <c r="C1249" s="15" t="s">
        <v>18</v>
      </c>
      <c r="D1249" s="16">
        <v>1</v>
      </c>
      <c r="E1249" s="17">
        <f>'HARGA BAHAN'!E119</f>
        <v>4500</v>
      </c>
      <c r="F1249" s="18">
        <f t="shared" si="31"/>
        <v>4500</v>
      </c>
    </row>
    <row r="1250" spans="1:6" x14ac:dyDescent="0.3">
      <c r="A1250" s="13"/>
      <c r="B1250" s="14" t="s">
        <v>194</v>
      </c>
      <c r="C1250" s="15" t="s">
        <v>18</v>
      </c>
      <c r="D1250" s="16">
        <v>24</v>
      </c>
      <c r="E1250" s="17">
        <f>'HARGA BAHAN'!E120</f>
        <v>3790</v>
      </c>
      <c r="F1250" s="18">
        <f t="shared" si="31"/>
        <v>90960</v>
      </c>
    </row>
    <row r="1251" spans="1:6" x14ac:dyDescent="0.3">
      <c r="A1251" s="13"/>
      <c r="B1251" s="14" t="s">
        <v>195</v>
      </c>
      <c r="C1251" s="15" t="s">
        <v>18</v>
      </c>
      <c r="D1251" s="16">
        <v>1</v>
      </c>
      <c r="E1251" s="17">
        <f>'HARGA BAHAN'!E121</f>
        <v>21000</v>
      </c>
      <c r="F1251" s="18">
        <f t="shared" si="31"/>
        <v>21000</v>
      </c>
    </row>
    <row r="1252" spans="1:6" ht="17.25" thickBot="1" x14ac:dyDescent="0.35">
      <c r="A1252" s="76"/>
      <c r="B1252" s="77" t="s">
        <v>196</v>
      </c>
      <c r="C1252" s="15" t="s">
        <v>18</v>
      </c>
      <c r="D1252" s="79">
        <v>1</v>
      </c>
      <c r="E1252" s="17">
        <f>'HARGA BAHAN'!E122</f>
        <v>53000</v>
      </c>
      <c r="F1252" s="71">
        <f>+D1252*E1252</f>
        <v>53000</v>
      </c>
    </row>
    <row r="1253" spans="1:6" ht="17.25" thickBot="1" x14ac:dyDescent="0.35">
      <c r="A1253" s="27"/>
      <c r="B1253" s="43"/>
      <c r="C1253" s="43"/>
      <c r="D1253" s="44" t="s">
        <v>10</v>
      </c>
      <c r="E1253" s="43"/>
      <c r="F1253" s="32">
        <f>SUM(F1245:F1252)</f>
        <v>366660</v>
      </c>
    </row>
    <row r="1254" spans="1:6" x14ac:dyDescent="0.3">
      <c r="A1254" s="33" t="s">
        <v>11</v>
      </c>
      <c r="B1254" s="34" t="s">
        <v>71</v>
      </c>
      <c r="C1254" s="35"/>
      <c r="D1254" s="35"/>
      <c r="E1254" s="35"/>
      <c r="F1254" s="36"/>
    </row>
    <row r="1255" spans="1:6" ht="17.25" thickBot="1" x14ac:dyDescent="0.35">
      <c r="A1255" s="45"/>
      <c r="B1255" s="46"/>
      <c r="C1255" s="47"/>
      <c r="D1255" s="48"/>
      <c r="E1255" s="49"/>
      <c r="F1255" s="50"/>
    </row>
    <row r="1256" spans="1:6" ht="17.25" thickBot="1" x14ac:dyDescent="0.35">
      <c r="A1256" s="27"/>
      <c r="B1256" s="28"/>
      <c r="C1256" s="29"/>
      <c r="D1256" s="30" t="s">
        <v>12</v>
      </c>
      <c r="E1256" s="31"/>
      <c r="F1256" s="32">
        <f>SUM(F1255)</f>
        <v>0</v>
      </c>
    </row>
    <row r="1257" spans="1:6" x14ac:dyDescent="0.3">
      <c r="A1257" s="33" t="s">
        <v>13</v>
      </c>
      <c r="B1257" s="34" t="s">
        <v>14</v>
      </c>
      <c r="C1257" s="51"/>
      <c r="D1257" s="51"/>
      <c r="E1257" s="52"/>
      <c r="F1257" s="53">
        <f>+F1243+F1253+F1256</f>
        <v>491660</v>
      </c>
    </row>
    <row r="1258" spans="1:6" x14ac:dyDescent="0.3">
      <c r="A1258" s="9" t="s">
        <v>15</v>
      </c>
      <c r="B1258" s="10" t="s">
        <v>49</v>
      </c>
      <c r="C1258" s="54"/>
      <c r="D1258" s="54"/>
      <c r="E1258" s="55"/>
      <c r="F1258" s="56">
        <f>F1257*15%</f>
        <v>73749</v>
      </c>
    </row>
    <row r="1259" spans="1:6" ht="17.25" thickBot="1" x14ac:dyDescent="0.35">
      <c r="A1259" s="57" t="s">
        <v>16</v>
      </c>
      <c r="B1259" s="58" t="s">
        <v>17</v>
      </c>
      <c r="C1259" s="59"/>
      <c r="D1259" s="59"/>
      <c r="E1259" s="60"/>
      <c r="F1259" s="61">
        <f>SUM(F1257:F1258)</f>
        <v>565409</v>
      </c>
    </row>
  </sheetData>
  <mergeCells count="2">
    <mergeCell ref="A1:F1"/>
    <mergeCell ref="A2:F2"/>
  </mergeCells>
  <pageMargins left="1.1811023622047245" right="0.70866141732283472" top="0.55118110236220474" bottom="0.74803149606299213" header="0.31496062992125984" footer="0.31496062992125984"/>
  <pageSetup paperSize="9" scale="95" orientation="portrait" horizontalDpi="4294967293" r:id="rId1"/>
  <rowBreaks count="10" manualBreakCount="10">
    <brk id="166" max="16383" man="1"/>
    <brk id="187" max="16383" man="1"/>
    <brk id="269" max="16383" man="1"/>
    <brk id="328" max="16383" man="1"/>
    <brk id="374" max="5" man="1"/>
    <brk id="470" max="16383" man="1"/>
    <brk id="692" max="16383" man="1"/>
    <brk id="732" max="16383" man="1"/>
    <brk id="919" max="5" man="1"/>
    <brk id="10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6"/>
  <sheetViews>
    <sheetView view="pageBreakPreview" topLeftCell="B31" zoomScaleNormal="100" zoomScaleSheetLayoutView="100" workbookViewId="0">
      <selection activeCell="B31" sqref="A1:XFD1048576"/>
    </sheetView>
  </sheetViews>
  <sheetFormatPr defaultColWidth="8.85546875" defaultRowHeight="15" x14ac:dyDescent="0.25"/>
  <cols>
    <col min="1" max="1" width="5.28515625" style="282" customWidth="1"/>
    <col min="2" max="2" width="4.7109375" style="283" customWidth="1"/>
    <col min="3" max="3" width="46" style="283" customWidth="1"/>
    <col min="4" max="4" width="10.7109375" style="282" customWidth="1"/>
    <col min="5" max="5" width="20.7109375" style="283" customWidth="1"/>
    <col min="6" max="6" width="8.85546875" style="135"/>
    <col min="7" max="7" width="11.7109375" style="230" bestFit="1" customWidth="1"/>
    <col min="8" max="8" width="13.28515625" style="230" customWidth="1"/>
    <col min="9" max="9" width="10.5703125" style="230" customWidth="1"/>
    <col min="10" max="10" width="11.28515625" style="135" bestFit="1" customWidth="1"/>
    <col min="11" max="11" width="8.85546875" style="135"/>
    <col min="12" max="12" width="10.5703125" style="135" bestFit="1" customWidth="1"/>
    <col min="13" max="16384" width="8.85546875" style="135"/>
  </cols>
  <sheetData>
    <row r="1" spans="1:9" ht="24" thickBot="1" x14ac:dyDescent="0.3">
      <c r="A1" s="509" t="s">
        <v>35</v>
      </c>
      <c r="B1" s="509"/>
      <c r="C1" s="509"/>
      <c r="D1" s="509"/>
      <c r="E1" s="509"/>
    </row>
    <row r="2" spans="1:9" ht="42.75" customHeight="1" thickTop="1" thickBot="1" x14ac:dyDescent="0.3">
      <c r="A2" s="231" t="s">
        <v>24</v>
      </c>
      <c r="B2" s="508" t="s">
        <v>36</v>
      </c>
      <c r="C2" s="508"/>
      <c r="D2" s="232" t="s">
        <v>27</v>
      </c>
      <c r="E2" s="233" t="s">
        <v>126</v>
      </c>
      <c r="G2" s="234" t="s">
        <v>390</v>
      </c>
      <c r="H2" s="234" t="s">
        <v>389</v>
      </c>
      <c r="I2" s="235" t="s">
        <v>391</v>
      </c>
    </row>
    <row r="3" spans="1:9" ht="20.100000000000001" customHeight="1" x14ac:dyDescent="0.25">
      <c r="A3" s="236" t="s">
        <v>30</v>
      </c>
      <c r="B3" s="237" t="s">
        <v>37</v>
      </c>
      <c r="C3" s="238"/>
      <c r="D3" s="239"/>
      <c r="E3" s="240"/>
      <c r="G3" s="241"/>
      <c r="H3" s="241"/>
      <c r="I3" s="241"/>
    </row>
    <row r="4" spans="1:9" ht="20.100000000000001" customHeight="1" x14ac:dyDescent="0.25">
      <c r="A4" s="242"/>
      <c r="B4" s="243">
        <v>1</v>
      </c>
      <c r="C4" s="243" t="s">
        <v>38</v>
      </c>
      <c r="D4" s="244" t="s">
        <v>7</v>
      </c>
      <c r="E4" s="245">
        <v>125000</v>
      </c>
      <c r="G4" s="241">
        <f>H4*I4</f>
        <v>120046.50000000001</v>
      </c>
      <c r="H4" s="241">
        <v>108150</v>
      </c>
      <c r="I4" s="241">
        <v>1.1100000000000001</v>
      </c>
    </row>
    <row r="5" spans="1:9" ht="20.100000000000001" customHeight="1" x14ac:dyDescent="0.25">
      <c r="A5" s="242"/>
      <c r="B5" s="243">
        <v>2</v>
      </c>
      <c r="C5" s="243" t="s">
        <v>39</v>
      </c>
      <c r="D5" s="244" t="s">
        <v>7</v>
      </c>
      <c r="E5" s="245">
        <v>160000</v>
      </c>
      <c r="G5" s="241">
        <f>H5*I5</f>
        <v>184593.00000000003</v>
      </c>
      <c r="H5" s="241">
        <v>166300</v>
      </c>
      <c r="I5" s="241">
        <v>1.1100000000000001</v>
      </c>
    </row>
    <row r="6" spans="1:9" ht="20.100000000000001" customHeight="1" x14ac:dyDescent="0.25">
      <c r="A6" s="242"/>
      <c r="B6" s="243">
        <v>3</v>
      </c>
      <c r="C6" s="243" t="s">
        <v>31</v>
      </c>
      <c r="D6" s="244" t="s">
        <v>7</v>
      </c>
      <c r="E6" s="245">
        <v>180000</v>
      </c>
      <c r="G6" s="241">
        <f>H6*I6</f>
        <v>227106.00000000003</v>
      </c>
      <c r="H6" s="241">
        <v>204600</v>
      </c>
      <c r="I6" s="241">
        <v>1.1100000000000001</v>
      </c>
    </row>
    <row r="7" spans="1:9" ht="20.100000000000001" customHeight="1" x14ac:dyDescent="0.25">
      <c r="A7" s="242"/>
      <c r="B7" s="243">
        <v>4</v>
      </c>
      <c r="C7" s="243" t="s">
        <v>40</v>
      </c>
      <c r="D7" s="244" t="s">
        <v>7</v>
      </c>
      <c r="E7" s="245">
        <v>175000</v>
      </c>
      <c r="G7" s="241">
        <f>H7*I7</f>
        <v>193806.00000000003</v>
      </c>
      <c r="H7" s="241">
        <v>174600</v>
      </c>
      <c r="I7" s="241">
        <v>1.1100000000000001</v>
      </c>
    </row>
    <row r="8" spans="1:9" ht="20.100000000000001" customHeight="1" thickBot="1" x14ac:dyDescent="0.3">
      <c r="A8" s="246"/>
      <c r="B8" s="247"/>
      <c r="C8" s="247"/>
      <c r="D8" s="248"/>
      <c r="E8" s="249"/>
      <c r="G8" s="241"/>
      <c r="H8" s="241"/>
      <c r="I8" s="241"/>
    </row>
    <row r="9" spans="1:9" ht="20.100000000000001" customHeight="1" x14ac:dyDescent="0.25">
      <c r="A9" s="250" t="s">
        <v>41</v>
      </c>
      <c r="B9" s="251" t="s">
        <v>42</v>
      </c>
      <c r="C9" s="252"/>
      <c r="D9" s="253"/>
      <c r="E9" s="254"/>
      <c r="G9" s="241"/>
      <c r="H9" s="241"/>
      <c r="I9" s="241"/>
    </row>
    <row r="10" spans="1:9" ht="20.100000000000001" customHeight="1" x14ac:dyDescent="0.25">
      <c r="A10" s="242"/>
      <c r="B10" s="243">
        <v>1</v>
      </c>
      <c r="C10" s="243" t="s">
        <v>68</v>
      </c>
      <c r="D10" s="244" t="s">
        <v>796</v>
      </c>
      <c r="E10" s="245">
        <v>280000</v>
      </c>
      <c r="G10" s="241">
        <f>H10*I10</f>
        <v>439810</v>
      </c>
      <c r="H10" s="241">
        <v>427000</v>
      </c>
      <c r="I10" s="241">
        <v>1.03</v>
      </c>
    </row>
    <row r="11" spans="1:9" ht="20.100000000000001" customHeight="1" x14ac:dyDescent="0.25">
      <c r="A11" s="242"/>
      <c r="B11" s="243">
        <f>+B10+1</f>
        <v>2</v>
      </c>
      <c r="C11" s="243" t="s">
        <v>75</v>
      </c>
      <c r="D11" s="244" t="s">
        <v>796</v>
      </c>
      <c r="E11" s="245">
        <v>180000</v>
      </c>
      <c r="G11" s="241">
        <f>H11*I11</f>
        <v>161195</v>
      </c>
      <c r="H11" s="241">
        <v>156500</v>
      </c>
      <c r="I11" s="241">
        <v>1.03</v>
      </c>
    </row>
    <row r="12" spans="1:9" ht="20.100000000000001" customHeight="1" x14ac:dyDescent="0.25">
      <c r="A12" s="242"/>
      <c r="B12" s="243">
        <f>+B11+1</f>
        <v>3</v>
      </c>
      <c r="C12" s="243" t="s">
        <v>393</v>
      </c>
      <c r="D12" s="244" t="s">
        <v>83</v>
      </c>
      <c r="E12" s="245">
        <f>E13*40</f>
        <v>80000</v>
      </c>
      <c r="G12" s="241">
        <f>H12*I12</f>
        <v>88800.000000000015</v>
      </c>
      <c r="H12" s="241">
        <v>80000</v>
      </c>
      <c r="I12" s="241">
        <v>1.1100000000000001</v>
      </c>
    </row>
    <row r="13" spans="1:9" ht="20.100000000000001" customHeight="1" x14ac:dyDescent="0.25">
      <c r="A13" s="242"/>
      <c r="B13" s="243"/>
      <c r="C13" s="243"/>
      <c r="D13" s="244" t="s">
        <v>19</v>
      </c>
      <c r="E13" s="245">
        <v>2000</v>
      </c>
      <c r="G13" s="241"/>
      <c r="H13" s="241"/>
      <c r="I13" s="241"/>
    </row>
    <row r="14" spans="1:9" ht="20.100000000000001" customHeight="1" x14ac:dyDescent="0.25">
      <c r="A14" s="242"/>
      <c r="B14" s="243">
        <f>B12+1</f>
        <v>4</v>
      </c>
      <c r="C14" s="243" t="s">
        <v>280</v>
      </c>
      <c r="D14" s="244" t="s">
        <v>19</v>
      </c>
      <c r="E14" s="245">
        <v>59000</v>
      </c>
      <c r="G14" s="241"/>
      <c r="H14" s="241"/>
      <c r="I14" s="241"/>
    </row>
    <row r="15" spans="1:9" ht="20.100000000000001" customHeight="1" x14ac:dyDescent="0.25">
      <c r="A15" s="242"/>
      <c r="B15" s="243">
        <f>B14+1</f>
        <v>5</v>
      </c>
      <c r="C15" s="243" t="s">
        <v>81</v>
      </c>
      <c r="D15" s="244" t="s">
        <v>796</v>
      </c>
      <c r="E15" s="245">
        <f>E16*1400</f>
        <v>210000</v>
      </c>
      <c r="G15" s="241">
        <f>H15*I15</f>
        <v>220890.00000000003</v>
      </c>
      <c r="H15" s="241">
        <v>199000</v>
      </c>
      <c r="I15" s="241">
        <v>1.1100000000000001</v>
      </c>
    </row>
    <row r="16" spans="1:9" ht="20.100000000000001" customHeight="1" x14ac:dyDescent="0.25">
      <c r="A16" s="242"/>
      <c r="B16" s="243"/>
      <c r="C16" s="243"/>
      <c r="D16" s="244" t="s">
        <v>19</v>
      </c>
      <c r="E16" s="255">
        <v>150</v>
      </c>
      <c r="G16" s="241"/>
      <c r="H16" s="241"/>
      <c r="I16" s="241"/>
    </row>
    <row r="17" spans="1:15" ht="20.100000000000001" customHeight="1" x14ac:dyDescent="0.25">
      <c r="A17" s="242"/>
      <c r="B17" s="243">
        <f>B15+1</f>
        <v>6</v>
      </c>
      <c r="C17" s="243" t="s">
        <v>395</v>
      </c>
      <c r="D17" s="244" t="s">
        <v>796</v>
      </c>
      <c r="E17" s="245">
        <v>385000</v>
      </c>
      <c r="G17" s="241">
        <f>H17*I17</f>
        <v>482040</v>
      </c>
      <c r="H17" s="241">
        <v>468000</v>
      </c>
      <c r="I17" s="241">
        <v>1.03</v>
      </c>
      <c r="N17" s="135" t="s">
        <v>689</v>
      </c>
      <c r="O17" s="135">
        <v>25000</v>
      </c>
    </row>
    <row r="18" spans="1:15" ht="20.100000000000001" customHeight="1" x14ac:dyDescent="0.25">
      <c r="A18" s="242"/>
      <c r="B18" s="243"/>
      <c r="C18" s="243"/>
      <c r="D18" s="244" t="s">
        <v>19</v>
      </c>
      <c r="E18" s="255">
        <f>ROUNDUP(E17/1450,-1)</f>
        <v>270</v>
      </c>
      <c r="G18" s="241"/>
      <c r="H18" s="241"/>
      <c r="I18" s="241"/>
      <c r="N18" s="135" t="s">
        <v>690</v>
      </c>
    </row>
    <row r="19" spans="1:15" ht="20.100000000000001" customHeight="1" x14ac:dyDescent="0.25">
      <c r="A19" s="242"/>
      <c r="B19" s="243">
        <f>B17+1</f>
        <v>7</v>
      </c>
      <c r="C19" s="243" t="s">
        <v>84</v>
      </c>
      <c r="D19" s="244" t="s">
        <v>80</v>
      </c>
      <c r="E19" s="245">
        <v>120</v>
      </c>
      <c r="G19" s="241"/>
      <c r="H19" s="241"/>
      <c r="I19" s="241"/>
      <c r="N19" s="135">
        <v>33</v>
      </c>
      <c r="O19" s="135">
        <v>15000</v>
      </c>
    </row>
    <row r="20" spans="1:15" ht="20.100000000000001" customHeight="1" x14ac:dyDescent="0.25">
      <c r="A20" s="242"/>
      <c r="B20" s="243">
        <f>B19+1</f>
        <v>8</v>
      </c>
      <c r="C20" s="243" t="s">
        <v>88</v>
      </c>
      <c r="D20" s="244" t="s">
        <v>19</v>
      </c>
      <c r="E20" s="245">
        <v>18000</v>
      </c>
      <c r="G20" s="241">
        <f>H20*I20</f>
        <v>17982</v>
      </c>
      <c r="H20" s="241">
        <v>16200</v>
      </c>
      <c r="I20" s="241">
        <v>1.1100000000000001</v>
      </c>
      <c r="N20" s="135">
        <v>40</v>
      </c>
      <c r="O20" s="135">
        <v>25000</v>
      </c>
    </row>
    <row r="21" spans="1:15" ht="20.100000000000001" customHeight="1" x14ac:dyDescent="0.25">
      <c r="A21" s="242"/>
      <c r="B21" s="243">
        <f t="shared" ref="B21:B36" si="0">B20+1</f>
        <v>9</v>
      </c>
      <c r="C21" s="243" t="s">
        <v>87</v>
      </c>
      <c r="D21" s="244" t="s">
        <v>19</v>
      </c>
      <c r="E21" s="245">
        <v>30000</v>
      </c>
      <c r="G21" s="241">
        <f>H21*I21</f>
        <v>27750.000000000004</v>
      </c>
      <c r="H21" s="241">
        <v>25000</v>
      </c>
      <c r="I21" s="241">
        <v>1.1100000000000001</v>
      </c>
      <c r="N21" s="135" t="s">
        <v>691</v>
      </c>
      <c r="O21" s="135">
        <v>150000</v>
      </c>
    </row>
    <row r="22" spans="1:15" ht="20.100000000000001" customHeight="1" x14ac:dyDescent="0.25">
      <c r="A22" s="242"/>
      <c r="B22" s="243">
        <f t="shared" si="0"/>
        <v>10</v>
      </c>
      <c r="C22" s="243" t="s">
        <v>754</v>
      </c>
      <c r="D22" s="244" t="s">
        <v>19</v>
      </c>
      <c r="E22" s="245">
        <v>19200</v>
      </c>
      <c r="G22" s="241"/>
      <c r="H22" s="241"/>
      <c r="I22" s="241"/>
    </row>
    <row r="23" spans="1:15" ht="20.100000000000001" customHeight="1" x14ac:dyDescent="0.25">
      <c r="A23" s="242"/>
      <c r="B23" s="243">
        <f t="shared" si="0"/>
        <v>11</v>
      </c>
      <c r="C23" s="243" t="s">
        <v>425</v>
      </c>
      <c r="D23" s="244" t="s">
        <v>19</v>
      </c>
      <c r="E23" s="245">
        <f>166900+32500</f>
        <v>199400</v>
      </c>
      <c r="G23" s="241"/>
      <c r="H23" s="241"/>
      <c r="I23" s="241"/>
      <c r="N23" s="135" t="s">
        <v>692</v>
      </c>
    </row>
    <row r="24" spans="1:15" ht="20.100000000000001" customHeight="1" x14ac:dyDescent="0.25">
      <c r="A24" s="242"/>
      <c r="B24" s="243"/>
      <c r="C24" s="243" t="s">
        <v>425</v>
      </c>
      <c r="D24" s="244" t="s">
        <v>424</v>
      </c>
      <c r="E24" s="245">
        <f>17780+6500</f>
        <v>24280</v>
      </c>
      <c r="G24" s="241"/>
      <c r="H24" s="241"/>
      <c r="I24" s="241"/>
    </row>
    <row r="25" spans="1:15" ht="20.100000000000001" customHeight="1" x14ac:dyDescent="0.25">
      <c r="A25" s="242"/>
      <c r="B25" s="243">
        <f>B23+1</f>
        <v>12</v>
      </c>
      <c r="C25" s="243" t="s">
        <v>432</v>
      </c>
      <c r="D25" s="244" t="s">
        <v>424</v>
      </c>
      <c r="E25" s="245">
        <f>10400+3250</f>
        <v>13650</v>
      </c>
      <c r="G25" s="241"/>
      <c r="H25" s="241"/>
      <c r="I25" s="241"/>
      <c r="K25" s="135">
        <f>52000/5</f>
        <v>10400</v>
      </c>
      <c r="N25" s="135" t="s">
        <v>693</v>
      </c>
    </row>
    <row r="26" spans="1:15" ht="20.100000000000001" customHeight="1" x14ac:dyDescent="0.25">
      <c r="A26" s="242"/>
      <c r="B26" s="243">
        <f t="shared" si="0"/>
        <v>13</v>
      </c>
      <c r="C26" s="243" t="s">
        <v>408</v>
      </c>
      <c r="D26" s="244" t="s">
        <v>186</v>
      </c>
      <c r="E26" s="245">
        <v>44700</v>
      </c>
      <c r="G26" s="241">
        <f>H26*I26</f>
        <v>44733.000000000007</v>
      </c>
      <c r="H26" s="241">
        <v>40300</v>
      </c>
      <c r="I26" s="241">
        <v>1.1100000000000001</v>
      </c>
      <c r="N26" s="135" t="s">
        <v>696</v>
      </c>
      <c r="O26" s="135" t="s">
        <v>699</v>
      </c>
    </row>
    <row r="27" spans="1:15" ht="20.100000000000001" customHeight="1" x14ac:dyDescent="0.25">
      <c r="A27" s="242"/>
      <c r="B27" s="243">
        <f>B21+1</f>
        <v>10</v>
      </c>
      <c r="C27" s="243" t="s">
        <v>90</v>
      </c>
      <c r="D27" s="244" t="s">
        <v>796</v>
      </c>
      <c r="E27" s="245">
        <v>5200000</v>
      </c>
      <c r="G27" s="241"/>
      <c r="H27" s="241"/>
      <c r="I27" s="241"/>
      <c r="N27" s="135" t="s">
        <v>697</v>
      </c>
      <c r="O27" s="135" t="s">
        <v>700</v>
      </c>
    </row>
    <row r="28" spans="1:15" ht="20.100000000000001" customHeight="1" x14ac:dyDescent="0.25">
      <c r="A28" s="242"/>
      <c r="B28" s="243">
        <f t="shared" si="0"/>
        <v>11</v>
      </c>
      <c r="C28" s="243" t="s">
        <v>92</v>
      </c>
      <c r="D28" s="244" t="s">
        <v>19</v>
      </c>
      <c r="E28" s="245">
        <v>25500</v>
      </c>
      <c r="G28" s="241">
        <f>H28*I28</f>
        <v>25530.000000000004</v>
      </c>
      <c r="H28" s="241">
        <v>23000</v>
      </c>
      <c r="I28" s="241">
        <v>1.1100000000000001</v>
      </c>
      <c r="N28" s="135" t="s">
        <v>698</v>
      </c>
    </row>
    <row r="29" spans="1:15" ht="20.100000000000001" customHeight="1" x14ac:dyDescent="0.25">
      <c r="A29" s="242"/>
      <c r="B29" s="243">
        <f t="shared" si="0"/>
        <v>12</v>
      </c>
      <c r="C29" s="243" t="s">
        <v>93</v>
      </c>
      <c r="D29" s="244" t="s">
        <v>80</v>
      </c>
      <c r="E29" s="245">
        <v>21000</v>
      </c>
      <c r="G29" s="241"/>
      <c r="H29" s="241"/>
      <c r="I29" s="241"/>
      <c r="N29" s="135" t="s">
        <v>701</v>
      </c>
    </row>
    <row r="30" spans="1:15" ht="20.100000000000001" customHeight="1" x14ac:dyDescent="0.25">
      <c r="A30" s="242"/>
      <c r="B30" s="243">
        <f t="shared" si="0"/>
        <v>13</v>
      </c>
      <c r="C30" s="243" t="s">
        <v>95</v>
      </c>
      <c r="D30" s="244" t="s">
        <v>796</v>
      </c>
      <c r="E30" s="245">
        <v>225000</v>
      </c>
      <c r="G30" s="241"/>
      <c r="H30" s="241"/>
      <c r="I30" s="241"/>
      <c r="N30" s="135" t="s">
        <v>702</v>
      </c>
    </row>
    <row r="31" spans="1:15" ht="20.100000000000001" customHeight="1" x14ac:dyDescent="0.25">
      <c r="A31" s="242"/>
      <c r="B31" s="243">
        <f t="shared" si="0"/>
        <v>14</v>
      </c>
      <c r="C31" s="243" t="s">
        <v>387</v>
      </c>
      <c r="D31" s="244" t="s">
        <v>18</v>
      </c>
      <c r="E31" s="245">
        <v>1000</v>
      </c>
      <c r="G31" s="241">
        <f>H31*I31</f>
        <v>999.00000000000011</v>
      </c>
      <c r="H31" s="241">
        <v>900</v>
      </c>
      <c r="I31" s="241">
        <v>1.1100000000000001</v>
      </c>
      <c r="N31" s="135" t="s">
        <v>703</v>
      </c>
    </row>
    <row r="32" spans="1:15" ht="20.100000000000001" customHeight="1" x14ac:dyDescent="0.25">
      <c r="A32" s="242"/>
      <c r="B32" s="243">
        <f t="shared" si="0"/>
        <v>15</v>
      </c>
      <c r="C32" s="243" t="s">
        <v>388</v>
      </c>
      <c r="D32" s="244" t="s">
        <v>18</v>
      </c>
      <c r="E32" s="245">
        <v>1100</v>
      </c>
      <c r="G32" s="241">
        <f>H32*I32</f>
        <v>1110</v>
      </c>
      <c r="H32" s="241">
        <v>1000</v>
      </c>
      <c r="I32" s="241">
        <v>1.1100000000000001</v>
      </c>
    </row>
    <row r="33" spans="1:9" ht="20.100000000000001" customHeight="1" x14ac:dyDescent="0.25">
      <c r="A33" s="242"/>
      <c r="B33" s="243">
        <f t="shared" si="0"/>
        <v>16</v>
      </c>
      <c r="C33" s="243" t="s">
        <v>103</v>
      </c>
      <c r="D33" s="244" t="s">
        <v>796</v>
      </c>
      <c r="E33" s="245">
        <v>7100000</v>
      </c>
      <c r="G33" s="241"/>
      <c r="H33" s="241"/>
      <c r="I33" s="241"/>
    </row>
    <row r="34" spans="1:9" ht="20.100000000000001" customHeight="1" x14ac:dyDescent="0.25">
      <c r="A34" s="242"/>
      <c r="B34" s="243"/>
      <c r="C34" s="243" t="s">
        <v>208</v>
      </c>
      <c r="D34" s="244" t="s">
        <v>281</v>
      </c>
      <c r="E34" s="245">
        <v>7100000</v>
      </c>
      <c r="G34" s="241"/>
      <c r="H34" s="241"/>
      <c r="I34" s="241"/>
    </row>
    <row r="35" spans="1:9" ht="20.100000000000001" customHeight="1" x14ac:dyDescent="0.25">
      <c r="A35" s="242"/>
      <c r="B35" s="243">
        <f>B33+1</f>
        <v>17</v>
      </c>
      <c r="C35" s="243" t="s">
        <v>304</v>
      </c>
      <c r="D35" s="244" t="s">
        <v>51</v>
      </c>
      <c r="E35" s="245">
        <v>215000</v>
      </c>
      <c r="G35" s="241"/>
      <c r="H35" s="241"/>
      <c r="I35" s="241"/>
    </row>
    <row r="36" spans="1:9" ht="20.100000000000001" customHeight="1" x14ac:dyDescent="0.25">
      <c r="A36" s="242"/>
      <c r="B36" s="243">
        <f t="shared" si="0"/>
        <v>18</v>
      </c>
      <c r="C36" s="243" t="s">
        <v>210</v>
      </c>
      <c r="D36" s="244" t="s">
        <v>211</v>
      </c>
      <c r="E36" s="245">
        <v>616000</v>
      </c>
      <c r="G36" s="241"/>
      <c r="H36" s="241"/>
      <c r="I36" s="241"/>
    </row>
    <row r="37" spans="1:9" ht="20.100000000000001" customHeight="1" x14ac:dyDescent="0.25">
      <c r="A37" s="242"/>
      <c r="B37" s="243">
        <f>B36+1</f>
        <v>19</v>
      </c>
      <c r="C37" s="243" t="s">
        <v>335</v>
      </c>
      <c r="D37" s="244" t="s">
        <v>23</v>
      </c>
      <c r="E37" s="245">
        <v>120000</v>
      </c>
      <c r="G37" s="241"/>
      <c r="H37" s="241"/>
      <c r="I37" s="241"/>
    </row>
    <row r="38" spans="1:9" ht="20.100000000000001" customHeight="1" x14ac:dyDescent="0.25">
      <c r="A38" s="242"/>
      <c r="B38" s="243">
        <f>B37+1</f>
        <v>20</v>
      </c>
      <c r="C38" s="243" t="s">
        <v>496</v>
      </c>
      <c r="D38" s="244" t="s">
        <v>108</v>
      </c>
      <c r="E38" s="245">
        <f>E39*16</f>
        <v>80000</v>
      </c>
      <c r="G38" s="241"/>
      <c r="H38" s="241"/>
      <c r="I38" s="241"/>
    </row>
    <row r="39" spans="1:9" ht="20.100000000000001" customHeight="1" x14ac:dyDescent="0.25">
      <c r="A39" s="242"/>
      <c r="B39" s="243"/>
      <c r="C39" s="243"/>
      <c r="D39" s="244" t="s">
        <v>43</v>
      </c>
      <c r="E39" s="245">
        <v>5000</v>
      </c>
      <c r="G39" s="241"/>
      <c r="H39" s="241"/>
      <c r="I39" s="241"/>
    </row>
    <row r="40" spans="1:9" ht="20.100000000000001" customHeight="1" x14ac:dyDescent="0.25">
      <c r="A40" s="242"/>
      <c r="B40" s="243">
        <f>B38+1</f>
        <v>21</v>
      </c>
      <c r="C40" s="243" t="s">
        <v>499</v>
      </c>
      <c r="D40" s="244" t="s">
        <v>108</v>
      </c>
      <c r="E40" s="245">
        <f>E41*10</f>
        <v>100000</v>
      </c>
      <c r="G40" s="241"/>
      <c r="H40" s="241"/>
      <c r="I40" s="241"/>
    </row>
    <row r="41" spans="1:9" ht="20.100000000000001" customHeight="1" x14ac:dyDescent="0.25">
      <c r="A41" s="242"/>
      <c r="B41" s="243"/>
      <c r="C41" s="243"/>
      <c r="D41" s="244" t="s">
        <v>43</v>
      </c>
      <c r="E41" s="245">
        <v>10000</v>
      </c>
      <c r="G41" s="241"/>
      <c r="H41" s="241"/>
      <c r="I41" s="241"/>
    </row>
    <row r="42" spans="1:9" ht="20.100000000000001" customHeight="1" x14ac:dyDescent="0.25">
      <c r="A42" s="242"/>
      <c r="B42" s="243">
        <f>B40+1</f>
        <v>22</v>
      </c>
      <c r="C42" s="243" t="s">
        <v>115</v>
      </c>
      <c r="D42" s="244" t="s">
        <v>108</v>
      </c>
      <c r="E42" s="245">
        <v>415000</v>
      </c>
      <c r="G42" s="241"/>
      <c r="H42" s="241"/>
      <c r="I42" s="241"/>
    </row>
    <row r="43" spans="1:9" ht="20.100000000000001" customHeight="1" x14ac:dyDescent="0.25">
      <c r="A43" s="242"/>
      <c r="B43" s="243"/>
      <c r="C43" s="243"/>
      <c r="D43" s="244" t="s">
        <v>43</v>
      </c>
      <c r="E43" s="245">
        <f>E42/4</f>
        <v>103750</v>
      </c>
      <c r="G43" s="241"/>
      <c r="H43" s="241"/>
      <c r="I43" s="241"/>
    </row>
    <row r="44" spans="1:9" ht="20.100000000000001" customHeight="1" x14ac:dyDescent="0.25">
      <c r="A44" s="242"/>
      <c r="B44" s="243">
        <f>B42+1</f>
        <v>23</v>
      </c>
      <c r="C44" s="243" t="s">
        <v>394</v>
      </c>
      <c r="D44" s="244" t="s">
        <v>19</v>
      </c>
      <c r="E44" s="245">
        <f>G44</f>
        <v>6438.0000000000009</v>
      </c>
      <c r="G44" s="241">
        <f>H44*I44</f>
        <v>6438.0000000000009</v>
      </c>
      <c r="H44" s="241">
        <v>5800</v>
      </c>
      <c r="I44" s="241">
        <v>1.1100000000000001</v>
      </c>
    </row>
    <row r="45" spans="1:9" ht="20.100000000000001" customHeight="1" x14ac:dyDescent="0.25">
      <c r="A45" s="242"/>
      <c r="B45" s="243">
        <f>B44+1</f>
        <v>24</v>
      </c>
      <c r="C45" s="243" t="s">
        <v>109</v>
      </c>
      <c r="D45" s="244" t="s">
        <v>405</v>
      </c>
      <c r="E45" s="245">
        <f>E46*6</f>
        <v>123000</v>
      </c>
      <c r="G45" s="241"/>
      <c r="H45" s="241"/>
      <c r="I45" s="241"/>
    </row>
    <row r="46" spans="1:9" ht="20.100000000000001" customHeight="1" x14ac:dyDescent="0.25">
      <c r="A46" s="242"/>
      <c r="B46" s="243"/>
      <c r="C46" s="243" t="s">
        <v>152</v>
      </c>
      <c r="D46" s="244" t="s">
        <v>424</v>
      </c>
      <c r="E46" s="245">
        <v>20500</v>
      </c>
      <c r="G46" s="241">
        <v>19800</v>
      </c>
      <c r="H46" s="241"/>
      <c r="I46" s="241"/>
    </row>
    <row r="47" spans="1:9" ht="20.100000000000001" customHeight="1" x14ac:dyDescent="0.25">
      <c r="A47" s="242"/>
      <c r="B47" s="243">
        <f>B45+1</f>
        <v>25</v>
      </c>
      <c r="C47" s="243" t="s">
        <v>568</v>
      </c>
      <c r="D47" s="244" t="s">
        <v>424</v>
      </c>
      <c r="E47" s="245">
        <v>120000</v>
      </c>
      <c r="G47" s="241"/>
      <c r="H47" s="241"/>
      <c r="I47" s="241"/>
    </row>
    <row r="48" spans="1:9" ht="20.100000000000001" customHeight="1" x14ac:dyDescent="0.25">
      <c r="A48" s="242"/>
      <c r="B48" s="243">
        <f>B47+1</f>
        <v>26</v>
      </c>
      <c r="C48" s="243" t="s">
        <v>569</v>
      </c>
      <c r="D48" s="244" t="s">
        <v>137</v>
      </c>
      <c r="E48" s="245">
        <v>4000</v>
      </c>
      <c r="G48" s="241"/>
      <c r="H48" s="241"/>
      <c r="I48" s="241"/>
    </row>
    <row r="49" spans="1:12" ht="20.100000000000001" customHeight="1" x14ac:dyDescent="0.25">
      <c r="A49" s="242"/>
      <c r="B49" s="243">
        <f>B48+1</f>
        <v>27</v>
      </c>
      <c r="C49" s="243" t="s">
        <v>404</v>
      </c>
      <c r="D49" s="244" t="s">
        <v>405</v>
      </c>
      <c r="E49" s="245">
        <f>802000+200000</f>
        <v>1002000</v>
      </c>
      <c r="G49" s="241"/>
      <c r="H49" s="241"/>
      <c r="I49" s="241"/>
    </row>
    <row r="50" spans="1:12" ht="20.100000000000001" customHeight="1" x14ac:dyDescent="0.25">
      <c r="A50" s="242"/>
      <c r="B50" s="243"/>
      <c r="C50" s="243" t="s">
        <v>406</v>
      </c>
      <c r="D50" s="244" t="s">
        <v>424</v>
      </c>
      <c r="E50" s="245">
        <f>E49/6</f>
        <v>167000</v>
      </c>
      <c r="G50" s="241"/>
      <c r="H50" s="241"/>
      <c r="I50" s="241"/>
    </row>
    <row r="51" spans="1:12" ht="20.100000000000001" customHeight="1" x14ac:dyDescent="0.25">
      <c r="A51" s="242"/>
      <c r="B51" s="243">
        <f>B49+1</f>
        <v>28</v>
      </c>
      <c r="C51" s="243" t="s">
        <v>797</v>
      </c>
      <c r="D51" s="244" t="s">
        <v>405</v>
      </c>
      <c r="E51" s="245">
        <f>E52*6</f>
        <v>189000</v>
      </c>
      <c r="G51" s="241"/>
      <c r="H51" s="241"/>
      <c r="I51" s="241"/>
    </row>
    <row r="52" spans="1:12" ht="20.100000000000001" customHeight="1" x14ac:dyDescent="0.25">
      <c r="A52" s="242"/>
      <c r="B52" s="243"/>
      <c r="C52" s="243" t="s">
        <v>798</v>
      </c>
      <c r="D52" s="244" t="s">
        <v>424</v>
      </c>
      <c r="E52" s="245">
        <v>31500</v>
      </c>
      <c r="G52" s="241"/>
      <c r="H52" s="241"/>
      <c r="I52" s="241"/>
    </row>
    <row r="53" spans="1:12" ht="20.100000000000001" customHeight="1" x14ac:dyDescent="0.25">
      <c r="A53" s="242"/>
      <c r="B53" s="243">
        <f>B51+1</f>
        <v>29</v>
      </c>
      <c r="C53" s="243" t="s">
        <v>799</v>
      </c>
      <c r="D53" s="244" t="s">
        <v>405</v>
      </c>
      <c r="E53" s="245">
        <f>E54*6</f>
        <v>300000</v>
      </c>
      <c r="G53" s="241"/>
      <c r="H53" s="241"/>
      <c r="I53" s="241"/>
    </row>
    <row r="54" spans="1:12" ht="20.100000000000001" customHeight="1" x14ac:dyDescent="0.25">
      <c r="A54" s="242"/>
      <c r="B54" s="243"/>
      <c r="C54" s="243" t="s">
        <v>800</v>
      </c>
      <c r="D54" s="244" t="s">
        <v>424</v>
      </c>
      <c r="E54" s="245">
        <v>50000</v>
      </c>
      <c r="G54" s="241"/>
      <c r="H54" s="241"/>
      <c r="I54" s="241"/>
    </row>
    <row r="55" spans="1:12" ht="20.100000000000001" customHeight="1" x14ac:dyDescent="0.25">
      <c r="A55" s="242"/>
      <c r="B55" s="243">
        <f>B53+1</f>
        <v>30</v>
      </c>
      <c r="C55" s="243" t="s">
        <v>801</v>
      </c>
      <c r="D55" s="244" t="s">
        <v>405</v>
      </c>
      <c r="E55" s="245">
        <f>E56*6</f>
        <v>900000</v>
      </c>
      <c r="G55" s="241"/>
      <c r="H55" s="241"/>
      <c r="I55" s="241"/>
    </row>
    <row r="56" spans="1:12" ht="20.100000000000001" customHeight="1" x14ac:dyDescent="0.25">
      <c r="A56" s="242"/>
      <c r="B56" s="243"/>
      <c r="C56" s="243" t="s">
        <v>802</v>
      </c>
      <c r="D56" s="244" t="s">
        <v>424</v>
      </c>
      <c r="E56" s="245">
        <v>150000</v>
      </c>
      <c r="G56" s="241"/>
      <c r="H56" s="241"/>
      <c r="I56" s="241"/>
    </row>
    <row r="57" spans="1:12" ht="20.100000000000001" customHeight="1" x14ac:dyDescent="0.25">
      <c r="A57" s="242"/>
      <c r="B57" s="243">
        <f>B55+1</f>
        <v>31</v>
      </c>
      <c r="C57" s="243" t="s">
        <v>640</v>
      </c>
      <c r="D57" s="244" t="s">
        <v>405</v>
      </c>
      <c r="E57" s="245">
        <f>E58*6</f>
        <v>150000</v>
      </c>
      <c r="G57" s="241"/>
      <c r="H57" s="241"/>
      <c r="I57" s="241"/>
    </row>
    <row r="58" spans="1:12" ht="20.100000000000001" customHeight="1" x14ac:dyDescent="0.25">
      <c r="A58" s="242"/>
      <c r="B58" s="243"/>
      <c r="C58" s="243" t="s">
        <v>641</v>
      </c>
      <c r="D58" s="244" t="s">
        <v>424</v>
      </c>
      <c r="E58" s="245">
        <v>25000</v>
      </c>
      <c r="G58" s="241"/>
      <c r="H58" s="241"/>
      <c r="I58" s="241"/>
    </row>
    <row r="59" spans="1:12" ht="20.100000000000001" customHeight="1" x14ac:dyDescent="0.25">
      <c r="A59" s="242"/>
      <c r="B59" s="243">
        <f>B57+1</f>
        <v>32</v>
      </c>
      <c r="C59" s="243" t="s">
        <v>704</v>
      </c>
      <c r="D59" s="244" t="s">
        <v>18</v>
      </c>
      <c r="E59" s="245">
        <v>265000</v>
      </c>
      <c r="G59" s="241">
        <v>0.8</v>
      </c>
      <c r="H59" s="241">
        <v>6</v>
      </c>
      <c r="I59" s="241">
        <f>G59*H59</f>
        <v>4.8000000000000007</v>
      </c>
      <c r="J59" s="256"/>
    </row>
    <row r="60" spans="1:12" ht="20.100000000000001" customHeight="1" x14ac:dyDescent="0.25">
      <c r="A60" s="242"/>
      <c r="B60" s="243"/>
      <c r="C60" s="243" t="s">
        <v>159</v>
      </c>
      <c r="D60" s="244" t="s">
        <v>158</v>
      </c>
      <c r="E60" s="245">
        <v>55200</v>
      </c>
      <c r="G60" s="241"/>
      <c r="H60" s="241"/>
      <c r="I60" s="241">
        <f>E59/I59</f>
        <v>55208.333333333328</v>
      </c>
      <c r="J60" s="256">
        <f>E60*I59</f>
        <v>264960.00000000006</v>
      </c>
    </row>
    <row r="61" spans="1:12" ht="20.100000000000001" customHeight="1" x14ac:dyDescent="0.25">
      <c r="A61" s="242"/>
      <c r="B61" s="243">
        <f>B59+1</f>
        <v>33</v>
      </c>
      <c r="C61" s="257" t="s">
        <v>656</v>
      </c>
      <c r="D61" s="244" t="s">
        <v>211</v>
      </c>
      <c r="E61" s="245">
        <f>375000+8500</f>
        <v>383500</v>
      </c>
      <c r="G61" s="241"/>
      <c r="H61" s="241"/>
      <c r="I61" s="241"/>
      <c r="L61" s="258"/>
    </row>
    <row r="62" spans="1:12" ht="20.100000000000001" customHeight="1" x14ac:dyDescent="0.25">
      <c r="A62" s="242"/>
      <c r="B62" s="243">
        <f>B61+1</f>
        <v>34</v>
      </c>
      <c r="C62" s="257" t="s">
        <v>678</v>
      </c>
      <c r="D62" s="244" t="s">
        <v>211</v>
      </c>
      <c r="E62" s="245">
        <f>114000+36000</f>
        <v>150000</v>
      </c>
      <c r="G62" s="241"/>
      <c r="H62" s="241"/>
      <c r="I62" s="241"/>
      <c r="L62" s="258"/>
    </row>
    <row r="63" spans="1:12" ht="20.100000000000001" customHeight="1" x14ac:dyDescent="0.25">
      <c r="A63" s="242"/>
      <c r="B63" s="243">
        <f>B62+1</f>
        <v>35</v>
      </c>
      <c r="C63" s="257" t="s">
        <v>608</v>
      </c>
      <c r="D63" s="244" t="s">
        <v>371</v>
      </c>
      <c r="E63" s="245">
        <v>5950000</v>
      </c>
      <c r="G63" s="241"/>
      <c r="H63" s="241"/>
      <c r="I63" s="241"/>
      <c r="L63" s="181"/>
    </row>
    <row r="64" spans="1:12" ht="20.100000000000001" customHeight="1" x14ac:dyDescent="0.25">
      <c r="A64" s="242"/>
      <c r="B64" s="243"/>
      <c r="C64" s="257" t="s">
        <v>609</v>
      </c>
      <c r="D64" s="244" t="s">
        <v>424</v>
      </c>
      <c r="E64" s="245">
        <f>E63/100</f>
        <v>59500</v>
      </c>
      <c r="G64" s="241"/>
      <c r="H64" s="241"/>
      <c r="I64" s="241"/>
    </row>
    <row r="65" spans="1:11" ht="20.100000000000001" customHeight="1" x14ac:dyDescent="0.25">
      <c r="A65" s="242"/>
      <c r="B65" s="243"/>
      <c r="C65" s="257" t="s">
        <v>423</v>
      </c>
      <c r="D65" s="244" t="s">
        <v>256</v>
      </c>
      <c r="E65" s="245">
        <v>19850</v>
      </c>
      <c r="G65" s="241"/>
      <c r="H65" s="241"/>
      <c r="I65" s="241"/>
    </row>
    <row r="66" spans="1:11" ht="20.100000000000001" customHeight="1" x14ac:dyDescent="0.25">
      <c r="A66" s="242"/>
      <c r="B66" s="243">
        <f>B63+1</f>
        <v>36</v>
      </c>
      <c r="C66" s="257" t="s">
        <v>611</v>
      </c>
      <c r="D66" s="244" t="s">
        <v>371</v>
      </c>
      <c r="E66" s="245">
        <v>3650000</v>
      </c>
      <c r="G66" s="241"/>
      <c r="H66" s="241"/>
      <c r="I66" s="241"/>
    </row>
    <row r="67" spans="1:11" ht="20.100000000000001" customHeight="1" x14ac:dyDescent="0.25">
      <c r="A67" s="242"/>
      <c r="B67" s="243"/>
      <c r="C67" s="257" t="s">
        <v>612</v>
      </c>
      <c r="D67" s="244" t="s">
        <v>424</v>
      </c>
      <c r="E67" s="245">
        <f>E66/100</f>
        <v>36500</v>
      </c>
      <c r="G67" s="241"/>
      <c r="H67" s="241"/>
      <c r="I67" s="241"/>
    </row>
    <row r="68" spans="1:11" ht="20.100000000000001" customHeight="1" x14ac:dyDescent="0.25">
      <c r="A68" s="242"/>
      <c r="B68" s="243"/>
      <c r="C68" s="257" t="s">
        <v>613</v>
      </c>
      <c r="D68" s="244" t="s">
        <v>256</v>
      </c>
      <c r="E68" s="245">
        <f>E67/3</f>
        <v>12166.666666666666</v>
      </c>
      <c r="G68" s="241"/>
      <c r="H68" s="241"/>
      <c r="I68" s="241"/>
    </row>
    <row r="69" spans="1:11" ht="20.100000000000001" customHeight="1" x14ac:dyDescent="0.25">
      <c r="A69" s="242"/>
      <c r="B69" s="243">
        <f>B66+1</f>
        <v>37</v>
      </c>
      <c r="C69" s="243" t="s">
        <v>110</v>
      </c>
      <c r="D69" s="244" t="s">
        <v>281</v>
      </c>
      <c r="E69" s="245">
        <v>5200000</v>
      </c>
      <c r="G69" s="241"/>
      <c r="H69" s="241"/>
      <c r="I69" s="241"/>
    </row>
    <row r="70" spans="1:11" ht="20.100000000000001" customHeight="1" x14ac:dyDescent="0.25">
      <c r="A70" s="259"/>
      <c r="B70" s="243">
        <f t="shared" ref="B70:B82" si="1">B69+1</f>
        <v>38</v>
      </c>
      <c r="C70" s="243" t="s">
        <v>123</v>
      </c>
      <c r="D70" s="244" t="s">
        <v>256</v>
      </c>
      <c r="E70" s="245">
        <v>140000</v>
      </c>
      <c r="G70" s="241"/>
      <c r="H70" s="241"/>
      <c r="I70" s="241"/>
    </row>
    <row r="71" spans="1:11" ht="20.100000000000001" customHeight="1" x14ac:dyDescent="0.25">
      <c r="A71" s="242"/>
      <c r="B71" s="243">
        <f t="shared" si="1"/>
        <v>39</v>
      </c>
      <c r="C71" s="243" t="s">
        <v>302</v>
      </c>
      <c r="D71" s="244" t="s">
        <v>211</v>
      </c>
      <c r="E71" s="245">
        <v>891000</v>
      </c>
      <c r="G71" s="241"/>
      <c r="H71" s="241"/>
      <c r="I71" s="241"/>
    </row>
    <row r="72" spans="1:11" ht="20.100000000000001" customHeight="1" x14ac:dyDescent="0.25">
      <c r="A72" s="242"/>
      <c r="B72" s="243">
        <f t="shared" si="1"/>
        <v>40</v>
      </c>
      <c r="C72" s="243" t="s">
        <v>562</v>
      </c>
      <c r="D72" s="244" t="s">
        <v>137</v>
      </c>
      <c r="E72" s="245">
        <v>680000</v>
      </c>
      <c r="G72" s="241"/>
      <c r="H72" s="241"/>
      <c r="I72" s="241"/>
    </row>
    <row r="73" spans="1:11" ht="20.100000000000001" customHeight="1" x14ac:dyDescent="0.25">
      <c r="A73" s="242"/>
      <c r="B73" s="243">
        <f t="shared" si="1"/>
        <v>41</v>
      </c>
      <c r="C73" s="243" t="s">
        <v>168</v>
      </c>
      <c r="D73" s="244" t="s">
        <v>21</v>
      </c>
      <c r="E73" s="245">
        <v>142450</v>
      </c>
      <c r="G73" s="241">
        <f>3.96*0.2</f>
        <v>0.79200000000000004</v>
      </c>
      <c r="H73" s="241"/>
      <c r="I73" s="241"/>
      <c r="K73" s="135">
        <f>0.2*4</f>
        <v>0.8</v>
      </c>
    </row>
    <row r="74" spans="1:11" ht="20.100000000000001" customHeight="1" x14ac:dyDescent="0.25">
      <c r="A74" s="242"/>
      <c r="B74" s="243"/>
      <c r="C74" s="243" t="s">
        <v>167</v>
      </c>
      <c r="D74" s="244" t="s">
        <v>166</v>
      </c>
      <c r="E74" s="245">
        <f>E73*1.263</f>
        <v>179914.34999999998</v>
      </c>
      <c r="G74" s="241">
        <v>1.2629999999999999</v>
      </c>
      <c r="H74" s="241">
        <f>G73*G74</f>
        <v>1.0002960000000001</v>
      </c>
      <c r="I74" s="241"/>
    </row>
    <row r="75" spans="1:11" ht="20.100000000000001" customHeight="1" x14ac:dyDescent="0.25">
      <c r="A75" s="242"/>
      <c r="B75" s="243">
        <f>B73+1</f>
        <v>42</v>
      </c>
      <c r="C75" s="243" t="s">
        <v>173</v>
      </c>
      <c r="D75" s="244" t="s">
        <v>174</v>
      </c>
      <c r="E75" s="245">
        <f>G75+(G75*3%)</f>
        <v>50367</v>
      </c>
      <c r="G75" s="241">
        <v>48900</v>
      </c>
      <c r="H75" s="241"/>
      <c r="I75" s="241"/>
    </row>
    <row r="76" spans="1:11" ht="20.100000000000001" customHeight="1" x14ac:dyDescent="0.25">
      <c r="A76" s="242"/>
      <c r="B76" s="243">
        <f>B75+1</f>
        <v>43</v>
      </c>
      <c r="C76" s="243" t="s">
        <v>20</v>
      </c>
      <c r="D76" s="244" t="s">
        <v>19</v>
      </c>
      <c r="E76" s="245">
        <v>29500</v>
      </c>
      <c r="G76" s="241"/>
      <c r="H76" s="241"/>
      <c r="I76" s="241"/>
    </row>
    <row r="77" spans="1:11" ht="20.100000000000001" customHeight="1" x14ac:dyDescent="0.25">
      <c r="A77" s="242"/>
      <c r="B77" s="243"/>
      <c r="C77" s="243" t="s">
        <v>161</v>
      </c>
      <c r="D77" s="244" t="s">
        <v>137</v>
      </c>
      <c r="E77" s="245">
        <f>G77+(G77*5%)</f>
        <v>420</v>
      </c>
      <c r="G77" s="241">
        <v>400</v>
      </c>
      <c r="H77" s="241"/>
      <c r="I77" s="241"/>
    </row>
    <row r="78" spans="1:11" ht="20.100000000000001" customHeight="1" x14ac:dyDescent="0.25">
      <c r="A78" s="242"/>
      <c r="B78" s="243"/>
      <c r="C78" s="243" t="s">
        <v>160</v>
      </c>
      <c r="D78" s="244" t="s">
        <v>137</v>
      </c>
      <c r="E78" s="245">
        <f>G78+(G78*10%)</f>
        <v>550</v>
      </c>
      <c r="G78" s="241">
        <v>500</v>
      </c>
      <c r="H78" s="241"/>
      <c r="I78" s="241"/>
    </row>
    <row r="79" spans="1:11" ht="20.100000000000001" customHeight="1" x14ac:dyDescent="0.25">
      <c r="A79" s="242"/>
      <c r="B79" s="243">
        <f>B76+1</f>
        <v>44</v>
      </c>
      <c r="C79" s="243" t="s">
        <v>149</v>
      </c>
      <c r="D79" s="244" t="s">
        <v>135</v>
      </c>
      <c r="E79" s="245">
        <f>G79+(G79*5%)</f>
        <v>8925</v>
      </c>
      <c r="G79" s="241">
        <v>8500</v>
      </c>
      <c r="H79" s="241"/>
      <c r="I79" s="241"/>
    </row>
    <row r="80" spans="1:11" ht="20.100000000000001" customHeight="1" x14ac:dyDescent="0.25">
      <c r="A80" s="242"/>
      <c r="B80" s="243">
        <f t="shared" si="1"/>
        <v>45</v>
      </c>
      <c r="C80" s="243" t="s">
        <v>150</v>
      </c>
      <c r="D80" s="244" t="s">
        <v>137</v>
      </c>
      <c r="E80" s="245">
        <f>G80+(G80*5%)</f>
        <v>4200</v>
      </c>
      <c r="G80" s="241">
        <v>4000</v>
      </c>
      <c r="H80" s="241"/>
      <c r="I80" s="241"/>
    </row>
    <row r="81" spans="1:9" ht="20.100000000000001" customHeight="1" x14ac:dyDescent="0.25">
      <c r="A81" s="242"/>
      <c r="B81" s="243">
        <f>B80+1</f>
        <v>46</v>
      </c>
      <c r="C81" s="243" t="s">
        <v>112</v>
      </c>
      <c r="D81" s="244" t="s">
        <v>63</v>
      </c>
      <c r="E81" s="245">
        <v>30000</v>
      </c>
      <c r="G81" s="241"/>
      <c r="H81" s="241"/>
      <c r="I81" s="241"/>
    </row>
    <row r="82" spans="1:9" ht="20.100000000000001" customHeight="1" x14ac:dyDescent="0.25">
      <c r="A82" s="260"/>
      <c r="B82" s="243">
        <f t="shared" si="1"/>
        <v>47</v>
      </c>
      <c r="C82" s="243" t="s">
        <v>180</v>
      </c>
      <c r="D82" s="244" t="s">
        <v>108</v>
      </c>
      <c r="E82" s="245">
        <f>E83*11</f>
        <v>160050</v>
      </c>
      <c r="G82" s="241"/>
      <c r="H82" s="241"/>
      <c r="I82" s="241"/>
    </row>
    <row r="83" spans="1:9" ht="20.100000000000001" customHeight="1" x14ac:dyDescent="0.25">
      <c r="A83" s="242"/>
      <c r="B83" s="261"/>
      <c r="C83" s="261"/>
      <c r="D83" s="244" t="s">
        <v>137</v>
      </c>
      <c r="E83" s="262">
        <v>14550</v>
      </c>
      <c r="G83" s="241"/>
      <c r="H83" s="241"/>
      <c r="I83" s="241"/>
    </row>
    <row r="84" spans="1:9" ht="20.100000000000001" customHeight="1" x14ac:dyDescent="0.25">
      <c r="A84" s="242"/>
      <c r="B84" s="243">
        <f>B82+1</f>
        <v>48</v>
      </c>
      <c r="C84" s="243" t="s">
        <v>181</v>
      </c>
      <c r="D84" s="244" t="s">
        <v>137</v>
      </c>
      <c r="E84" s="245">
        <v>28000</v>
      </c>
      <c r="G84" s="241">
        <f>E84*6</f>
        <v>168000</v>
      </c>
      <c r="H84" s="241"/>
      <c r="I84" s="241"/>
    </row>
    <row r="85" spans="1:9" ht="20.100000000000001" customHeight="1" x14ac:dyDescent="0.25">
      <c r="A85" s="242"/>
      <c r="B85" s="243">
        <f t="shared" ref="B85:B98" si="2">B84+1</f>
        <v>49</v>
      </c>
      <c r="C85" s="243" t="s">
        <v>124</v>
      </c>
      <c r="D85" s="244" t="s">
        <v>803</v>
      </c>
      <c r="E85" s="262">
        <f>750000/(1.2*2.4)</f>
        <v>260416.66666666669</v>
      </c>
      <c r="G85" s="241"/>
      <c r="H85" s="241"/>
      <c r="I85" s="241"/>
    </row>
    <row r="86" spans="1:9" ht="20.100000000000001" customHeight="1" x14ac:dyDescent="0.25">
      <c r="A86" s="242"/>
      <c r="B86" s="243">
        <f t="shared" si="2"/>
        <v>50</v>
      </c>
      <c r="C86" s="261" t="s">
        <v>52</v>
      </c>
      <c r="D86" s="263" t="s">
        <v>19</v>
      </c>
      <c r="E86" s="262">
        <v>30000</v>
      </c>
      <c r="G86" s="241"/>
      <c r="H86" s="241"/>
      <c r="I86" s="241"/>
    </row>
    <row r="87" spans="1:9" ht="20.100000000000001" customHeight="1" x14ac:dyDescent="0.25">
      <c r="A87" s="242"/>
      <c r="B87" s="243"/>
      <c r="C87" s="261" t="s">
        <v>250</v>
      </c>
      <c r="D87" s="263" t="s">
        <v>19</v>
      </c>
      <c r="E87" s="262">
        <v>62000</v>
      </c>
      <c r="G87" s="241"/>
      <c r="H87" s="241"/>
      <c r="I87" s="241"/>
    </row>
    <row r="88" spans="1:9" ht="20.100000000000001" customHeight="1" x14ac:dyDescent="0.25">
      <c r="A88" s="242"/>
      <c r="B88" s="243">
        <f>B86+1</f>
        <v>51</v>
      </c>
      <c r="C88" s="243" t="s">
        <v>32</v>
      </c>
      <c r="D88" s="244" t="s">
        <v>19</v>
      </c>
      <c r="E88" s="245">
        <v>42000</v>
      </c>
      <c r="G88" s="241">
        <f>H88*I88</f>
        <v>31635.000000000004</v>
      </c>
      <c r="H88" s="241">
        <v>28500</v>
      </c>
      <c r="I88" s="241">
        <v>1.1100000000000001</v>
      </c>
    </row>
    <row r="89" spans="1:9" ht="20.100000000000001" customHeight="1" x14ac:dyDescent="0.25">
      <c r="A89" s="242"/>
      <c r="B89" s="243">
        <f t="shared" si="2"/>
        <v>52</v>
      </c>
      <c r="C89" s="243" t="s">
        <v>694</v>
      </c>
      <c r="D89" s="244" t="s">
        <v>19</v>
      </c>
      <c r="E89" s="245">
        <v>40000</v>
      </c>
      <c r="G89" s="241">
        <f>H89*I89</f>
        <v>53280.000000000007</v>
      </c>
      <c r="H89" s="241">
        <v>48000</v>
      </c>
      <c r="I89" s="241">
        <v>1.1100000000000001</v>
      </c>
    </row>
    <row r="90" spans="1:9" ht="20.100000000000001" customHeight="1" x14ac:dyDescent="0.25">
      <c r="A90" s="242"/>
      <c r="B90" s="243"/>
      <c r="C90" s="243" t="s">
        <v>695</v>
      </c>
      <c r="D90" s="244" t="s">
        <v>19</v>
      </c>
      <c r="E90" s="245">
        <v>85000</v>
      </c>
      <c r="G90" s="241">
        <f>H90*I90</f>
        <v>89910.000000000015</v>
      </c>
      <c r="H90" s="241">
        <v>81000</v>
      </c>
      <c r="I90" s="241">
        <v>1.1100000000000001</v>
      </c>
    </row>
    <row r="91" spans="1:9" ht="20.100000000000001" customHeight="1" x14ac:dyDescent="0.25">
      <c r="A91" s="242"/>
      <c r="B91" s="243"/>
      <c r="C91" s="243" t="s">
        <v>254</v>
      </c>
      <c r="D91" s="244" t="s">
        <v>247</v>
      </c>
      <c r="E91" s="245">
        <v>30000</v>
      </c>
      <c r="G91" s="241">
        <f>H91*I91</f>
        <v>64380.000000000007</v>
      </c>
      <c r="H91" s="241">
        <v>58000</v>
      </c>
      <c r="I91" s="241">
        <v>1.1100000000000001</v>
      </c>
    </row>
    <row r="92" spans="1:9" ht="20.100000000000001" customHeight="1" x14ac:dyDescent="0.25">
      <c r="A92" s="242"/>
      <c r="B92" s="243">
        <f>B89+1</f>
        <v>53</v>
      </c>
      <c r="C92" s="243" t="s">
        <v>752</v>
      </c>
      <c r="D92" s="244" t="s">
        <v>247</v>
      </c>
      <c r="E92" s="245">
        <v>6800</v>
      </c>
      <c r="G92" s="241"/>
      <c r="H92" s="241"/>
      <c r="I92" s="241"/>
    </row>
    <row r="93" spans="1:9" ht="20.100000000000001" customHeight="1" x14ac:dyDescent="0.25">
      <c r="A93" s="242"/>
      <c r="B93" s="243">
        <f>B92+1</f>
        <v>54</v>
      </c>
      <c r="C93" s="243" t="s">
        <v>753</v>
      </c>
      <c r="D93" s="244" t="s">
        <v>247</v>
      </c>
      <c r="E93" s="245">
        <v>68700</v>
      </c>
      <c r="G93" s="241"/>
      <c r="H93" s="241"/>
      <c r="I93" s="241"/>
    </row>
    <row r="94" spans="1:9" ht="20.100000000000001" customHeight="1" x14ac:dyDescent="0.25">
      <c r="A94" s="242"/>
      <c r="B94" s="243">
        <f>B93+1</f>
        <v>55</v>
      </c>
      <c r="C94" s="243" t="s">
        <v>252</v>
      </c>
      <c r="D94" s="244" t="s">
        <v>137</v>
      </c>
      <c r="E94" s="245">
        <v>35000</v>
      </c>
      <c r="G94" s="241">
        <f>H94*I94</f>
        <v>59440.500000000007</v>
      </c>
      <c r="H94" s="241">
        <v>53550</v>
      </c>
      <c r="I94" s="241">
        <v>1.1100000000000001</v>
      </c>
    </row>
    <row r="95" spans="1:9" ht="20.100000000000001" customHeight="1" x14ac:dyDescent="0.25">
      <c r="A95" s="242"/>
      <c r="B95" s="243">
        <f>B94+1</f>
        <v>56</v>
      </c>
      <c r="C95" s="243" t="s">
        <v>255</v>
      </c>
      <c r="D95" s="244" t="s">
        <v>211</v>
      </c>
      <c r="E95" s="245">
        <v>5000</v>
      </c>
      <c r="G95" s="241"/>
      <c r="H95" s="241"/>
      <c r="I95" s="241"/>
    </row>
    <row r="96" spans="1:9" ht="20.100000000000001" customHeight="1" x14ac:dyDescent="0.25">
      <c r="A96" s="242"/>
      <c r="B96" s="243">
        <f>B95+1</f>
        <v>57</v>
      </c>
      <c r="C96" s="243" t="s">
        <v>209</v>
      </c>
      <c r="D96" s="244" t="s">
        <v>19</v>
      </c>
      <c r="E96" s="245">
        <v>174000</v>
      </c>
      <c r="G96" s="241"/>
      <c r="H96" s="241"/>
      <c r="I96" s="241"/>
    </row>
    <row r="97" spans="1:9" ht="20.100000000000001" customHeight="1" x14ac:dyDescent="0.25">
      <c r="A97" s="242"/>
      <c r="B97" s="243">
        <f>B96+1</f>
        <v>58</v>
      </c>
      <c r="C97" s="243" t="s">
        <v>118</v>
      </c>
      <c r="D97" s="244" t="s">
        <v>256</v>
      </c>
      <c r="E97" s="245">
        <v>155000</v>
      </c>
      <c r="G97" s="241"/>
      <c r="H97" s="241"/>
      <c r="I97" s="241"/>
    </row>
    <row r="98" spans="1:9" ht="20.100000000000001" customHeight="1" x14ac:dyDescent="0.25">
      <c r="A98" s="242"/>
      <c r="B98" s="243">
        <f t="shared" si="2"/>
        <v>59</v>
      </c>
      <c r="C98" s="243" t="s">
        <v>119</v>
      </c>
      <c r="D98" s="244" t="s">
        <v>19</v>
      </c>
      <c r="E98" s="245">
        <v>150000</v>
      </c>
      <c r="G98" s="241"/>
      <c r="H98" s="241"/>
      <c r="I98" s="241"/>
    </row>
    <row r="99" spans="1:9" ht="20.100000000000001" customHeight="1" x14ac:dyDescent="0.25">
      <c r="A99" s="242"/>
      <c r="B99" s="243"/>
      <c r="C99" s="264" t="s">
        <v>262</v>
      </c>
      <c r="D99" s="244" t="s">
        <v>19</v>
      </c>
      <c r="E99" s="245">
        <v>85000</v>
      </c>
      <c r="G99" s="241"/>
      <c r="H99" s="241"/>
      <c r="I99" s="241"/>
    </row>
    <row r="100" spans="1:9" ht="20.100000000000001" customHeight="1" x14ac:dyDescent="0.25">
      <c r="A100" s="242"/>
      <c r="B100" s="243">
        <f>B97+1</f>
        <v>59</v>
      </c>
      <c r="C100" s="264" t="s">
        <v>519</v>
      </c>
      <c r="D100" s="265" t="s">
        <v>153</v>
      </c>
      <c r="E100" s="245">
        <v>7500</v>
      </c>
      <c r="G100" s="241"/>
      <c r="H100" s="241"/>
      <c r="I100" s="241"/>
    </row>
    <row r="101" spans="1:9" ht="20.100000000000001" customHeight="1" x14ac:dyDescent="0.25">
      <c r="A101" s="242"/>
      <c r="B101" s="243">
        <f>B98+1</f>
        <v>60</v>
      </c>
      <c r="C101" s="264" t="s">
        <v>529</v>
      </c>
      <c r="D101" s="265" t="s">
        <v>153</v>
      </c>
      <c r="E101" s="245">
        <f>250000/4</f>
        <v>62500</v>
      </c>
      <c r="G101" s="241"/>
      <c r="H101" s="241"/>
      <c r="I101" s="241"/>
    </row>
    <row r="102" spans="1:9" ht="20.100000000000001" customHeight="1" x14ac:dyDescent="0.25">
      <c r="A102" s="242"/>
      <c r="B102" s="243"/>
      <c r="C102" s="264" t="s">
        <v>520</v>
      </c>
      <c r="D102" s="265" t="s">
        <v>153</v>
      </c>
      <c r="E102" s="245">
        <v>125000</v>
      </c>
      <c r="G102" s="241"/>
      <c r="H102" s="241"/>
      <c r="I102" s="241"/>
    </row>
    <row r="103" spans="1:9" ht="20.100000000000001" customHeight="1" x14ac:dyDescent="0.25">
      <c r="A103" s="242"/>
      <c r="B103" s="243"/>
      <c r="C103" s="264" t="s">
        <v>705</v>
      </c>
      <c r="D103" s="265" t="s">
        <v>137</v>
      </c>
      <c r="E103" s="245">
        <v>55000</v>
      </c>
      <c r="G103" s="241"/>
      <c r="H103" s="241"/>
      <c r="I103" s="241"/>
    </row>
    <row r="104" spans="1:9" ht="20.100000000000001" customHeight="1" x14ac:dyDescent="0.25">
      <c r="A104" s="242"/>
      <c r="B104" s="243"/>
      <c r="C104" s="264" t="s">
        <v>267</v>
      </c>
      <c r="D104" s="265" t="s">
        <v>137</v>
      </c>
      <c r="E104" s="245">
        <v>7600</v>
      </c>
      <c r="G104" s="241"/>
      <c r="H104" s="241"/>
      <c r="I104" s="241"/>
    </row>
    <row r="105" spans="1:9" ht="20.100000000000001" customHeight="1" x14ac:dyDescent="0.25">
      <c r="A105" s="242"/>
      <c r="B105" s="243">
        <f>B101+1</f>
        <v>61</v>
      </c>
      <c r="C105" s="264" t="s">
        <v>517</v>
      </c>
      <c r="D105" s="265" t="s">
        <v>137</v>
      </c>
      <c r="E105" s="245">
        <v>210000</v>
      </c>
      <c r="G105" s="241"/>
      <c r="H105" s="241"/>
      <c r="I105" s="241"/>
    </row>
    <row r="106" spans="1:9" ht="20.100000000000001" customHeight="1" x14ac:dyDescent="0.25">
      <c r="A106" s="242"/>
      <c r="B106" s="243">
        <f>B105+1</f>
        <v>62</v>
      </c>
      <c r="C106" s="264" t="s">
        <v>706</v>
      </c>
      <c r="D106" s="265" t="s">
        <v>206</v>
      </c>
      <c r="E106" s="245">
        <v>800000</v>
      </c>
      <c r="G106" s="241"/>
      <c r="H106" s="241"/>
      <c r="I106" s="241"/>
    </row>
    <row r="107" spans="1:9" ht="20.100000000000001" customHeight="1" x14ac:dyDescent="0.25">
      <c r="A107" s="242"/>
      <c r="B107" s="243">
        <f>B106+1</f>
        <v>63</v>
      </c>
      <c r="C107" s="264" t="s">
        <v>552</v>
      </c>
      <c r="D107" s="265" t="s">
        <v>206</v>
      </c>
      <c r="E107" s="245">
        <v>380000</v>
      </c>
      <c r="G107" s="241"/>
      <c r="H107" s="241"/>
      <c r="I107" s="241"/>
    </row>
    <row r="108" spans="1:9" ht="20.100000000000001" customHeight="1" x14ac:dyDescent="0.25">
      <c r="A108" s="242"/>
      <c r="B108" s="243">
        <f>B107+1</f>
        <v>64</v>
      </c>
      <c r="C108" s="264" t="s">
        <v>560</v>
      </c>
      <c r="D108" s="265" t="s">
        <v>206</v>
      </c>
      <c r="E108" s="245">
        <v>43000</v>
      </c>
      <c r="G108" s="241"/>
      <c r="H108" s="241"/>
      <c r="I108" s="241"/>
    </row>
    <row r="109" spans="1:9" ht="20.100000000000001" customHeight="1" x14ac:dyDescent="0.25">
      <c r="A109" s="242"/>
      <c r="B109" s="243">
        <f>B108+1</f>
        <v>65</v>
      </c>
      <c r="C109" s="264" t="s">
        <v>120</v>
      </c>
      <c r="D109" s="265" t="s">
        <v>803</v>
      </c>
      <c r="E109" s="266">
        <v>2623700</v>
      </c>
      <c r="G109" s="241"/>
      <c r="H109" s="241"/>
      <c r="I109" s="241"/>
    </row>
    <row r="110" spans="1:9" ht="20.100000000000001" customHeight="1" x14ac:dyDescent="0.25">
      <c r="A110" s="242"/>
      <c r="B110" s="243">
        <f t="shared" ref="B110:B144" si="3">B109+1</f>
        <v>66</v>
      </c>
      <c r="C110" s="243" t="s">
        <v>140</v>
      </c>
      <c r="D110" s="244" t="s">
        <v>63</v>
      </c>
      <c r="E110" s="266">
        <v>12000</v>
      </c>
      <c r="G110" s="241">
        <v>9890</v>
      </c>
      <c r="H110" s="241"/>
      <c r="I110" s="241"/>
    </row>
    <row r="111" spans="1:9" ht="20.100000000000001" customHeight="1" x14ac:dyDescent="0.25">
      <c r="A111" s="242"/>
      <c r="B111" s="243">
        <f t="shared" si="3"/>
        <v>67</v>
      </c>
      <c r="C111" s="243" t="s">
        <v>141</v>
      </c>
      <c r="D111" s="244" t="s">
        <v>186</v>
      </c>
      <c r="E111" s="266">
        <v>32000</v>
      </c>
      <c r="G111" s="241"/>
      <c r="H111" s="241"/>
      <c r="I111" s="241"/>
    </row>
    <row r="112" spans="1:9" ht="20.100000000000001" customHeight="1" x14ac:dyDescent="0.25">
      <c r="A112" s="260"/>
      <c r="B112" s="243">
        <f>B111+1</f>
        <v>68</v>
      </c>
      <c r="C112" s="243" t="s">
        <v>141</v>
      </c>
      <c r="D112" s="244" t="s">
        <v>43</v>
      </c>
      <c r="E112" s="266">
        <v>500</v>
      </c>
      <c r="G112" s="241">
        <v>385</v>
      </c>
      <c r="H112" s="241"/>
      <c r="I112" s="241"/>
    </row>
    <row r="113" spans="1:9" ht="20.100000000000001" customHeight="1" x14ac:dyDescent="0.25">
      <c r="A113" s="242"/>
      <c r="B113" s="243">
        <f t="shared" si="3"/>
        <v>69</v>
      </c>
      <c r="C113" s="267" t="s">
        <v>273</v>
      </c>
      <c r="D113" s="244" t="s">
        <v>211</v>
      </c>
      <c r="E113" s="268">
        <v>102800</v>
      </c>
      <c r="G113" s="241"/>
      <c r="H113" s="241"/>
      <c r="I113" s="241"/>
    </row>
    <row r="114" spans="1:9" ht="20.100000000000001" customHeight="1" x14ac:dyDescent="0.25">
      <c r="A114" s="242"/>
      <c r="B114" s="243">
        <f t="shared" si="3"/>
        <v>70</v>
      </c>
      <c r="C114" s="267" t="s">
        <v>274</v>
      </c>
      <c r="D114" s="244" t="s">
        <v>211</v>
      </c>
      <c r="E114" s="268">
        <v>103000</v>
      </c>
      <c r="G114" s="241"/>
      <c r="H114" s="241"/>
      <c r="I114" s="241"/>
    </row>
    <row r="115" spans="1:9" ht="16.5" x14ac:dyDescent="0.25">
      <c r="A115" s="269"/>
      <c r="B115" s="261">
        <f>B114+1</f>
        <v>71</v>
      </c>
      <c r="C115" s="267" t="s">
        <v>198</v>
      </c>
      <c r="D115" s="244" t="s">
        <v>23</v>
      </c>
      <c r="E115" s="268">
        <v>23000</v>
      </c>
      <c r="G115" s="241"/>
      <c r="H115" s="241"/>
      <c r="I115" s="241"/>
    </row>
    <row r="116" spans="1:9" ht="16.5" x14ac:dyDescent="0.25">
      <c r="A116" s="269"/>
      <c r="B116" s="243">
        <f t="shared" si="3"/>
        <v>72</v>
      </c>
      <c r="C116" s="270" t="s">
        <v>190</v>
      </c>
      <c r="D116" s="271" t="s">
        <v>63</v>
      </c>
      <c r="E116" s="272">
        <v>12500</v>
      </c>
      <c r="G116" s="241"/>
      <c r="H116" s="241"/>
      <c r="I116" s="241"/>
    </row>
    <row r="117" spans="1:9" ht="16.5" x14ac:dyDescent="0.25">
      <c r="A117" s="269"/>
      <c r="B117" s="243">
        <f t="shared" si="3"/>
        <v>73</v>
      </c>
      <c r="C117" s="270" t="s">
        <v>191</v>
      </c>
      <c r="D117" s="271" t="s">
        <v>18</v>
      </c>
      <c r="E117" s="272">
        <v>14000</v>
      </c>
      <c r="G117" s="241"/>
      <c r="H117" s="241"/>
      <c r="I117" s="241"/>
    </row>
    <row r="118" spans="1:9" ht="16.5" x14ac:dyDescent="0.25">
      <c r="A118" s="269"/>
      <c r="B118" s="243">
        <f t="shared" si="3"/>
        <v>74</v>
      </c>
      <c r="C118" s="270" t="s">
        <v>192</v>
      </c>
      <c r="D118" s="271" t="s">
        <v>18</v>
      </c>
      <c r="E118" s="272">
        <v>2800</v>
      </c>
      <c r="G118" s="241"/>
      <c r="H118" s="241"/>
      <c r="I118" s="241"/>
    </row>
    <row r="119" spans="1:9" ht="16.5" x14ac:dyDescent="0.25">
      <c r="A119" s="269"/>
      <c r="B119" s="243">
        <f t="shared" si="3"/>
        <v>75</v>
      </c>
      <c r="C119" s="270" t="s">
        <v>193</v>
      </c>
      <c r="D119" s="271" t="s">
        <v>18</v>
      </c>
      <c r="E119" s="272">
        <v>4500</v>
      </c>
      <c r="G119" s="241"/>
      <c r="H119" s="241"/>
      <c r="I119" s="241"/>
    </row>
    <row r="120" spans="1:9" ht="16.5" x14ac:dyDescent="0.25">
      <c r="A120" s="273"/>
      <c r="B120" s="243">
        <f t="shared" si="3"/>
        <v>76</v>
      </c>
      <c r="C120" s="270" t="s">
        <v>194</v>
      </c>
      <c r="D120" s="271" t="s">
        <v>18</v>
      </c>
      <c r="E120" s="272">
        <v>3790</v>
      </c>
      <c r="G120" s="241"/>
      <c r="H120" s="241"/>
      <c r="I120" s="241"/>
    </row>
    <row r="121" spans="1:9" ht="16.5" x14ac:dyDescent="0.25">
      <c r="A121" s="273"/>
      <c r="B121" s="243">
        <f t="shared" si="3"/>
        <v>77</v>
      </c>
      <c r="C121" s="270" t="s">
        <v>195</v>
      </c>
      <c r="D121" s="271" t="s">
        <v>18</v>
      </c>
      <c r="E121" s="272">
        <v>21000</v>
      </c>
      <c r="G121" s="241"/>
      <c r="H121" s="241"/>
      <c r="I121" s="241"/>
    </row>
    <row r="122" spans="1:9" ht="16.5" x14ac:dyDescent="0.25">
      <c r="A122" s="273"/>
      <c r="B122" s="243">
        <f>B121+1</f>
        <v>78</v>
      </c>
      <c r="C122" s="270" t="s">
        <v>196</v>
      </c>
      <c r="D122" s="271" t="s">
        <v>18</v>
      </c>
      <c r="E122" s="272">
        <v>53000</v>
      </c>
      <c r="G122" s="241"/>
      <c r="H122" s="241"/>
      <c r="I122" s="241"/>
    </row>
    <row r="123" spans="1:9" ht="16.5" x14ac:dyDescent="0.25">
      <c r="A123" s="273"/>
      <c r="B123" s="243">
        <f t="shared" si="3"/>
        <v>79</v>
      </c>
      <c r="C123" s="270" t="s">
        <v>199</v>
      </c>
      <c r="D123" s="271" t="s">
        <v>18</v>
      </c>
      <c r="E123" s="266">
        <v>74000</v>
      </c>
      <c r="G123" s="230">
        <v>80000</v>
      </c>
    </row>
    <row r="124" spans="1:9" ht="16.5" x14ac:dyDescent="0.25">
      <c r="A124" s="273"/>
      <c r="B124" s="243">
        <f t="shared" si="3"/>
        <v>80</v>
      </c>
      <c r="C124" s="270" t="s">
        <v>298</v>
      </c>
      <c r="D124" s="271" t="s">
        <v>18</v>
      </c>
      <c r="E124" s="274">
        <v>85000</v>
      </c>
    </row>
    <row r="125" spans="1:9" ht="16.5" x14ac:dyDescent="0.25">
      <c r="A125" s="273"/>
      <c r="B125" s="264">
        <f>B124+1</f>
        <v>81</v>
      </c>
      <c r="C125" s="275" t="s">
        <v>200</v>
      </c>
      <c r="D125" s="276" t="s">
        <v>18</v>
      </c>
      <c r="E125" s="274">
        <f>G125+(G125*5%)</f>
        <v>39900</v>
      </c>
      <c r="G125" s="230">
        <v>38000</v>
      </c>
    </row>
    <row r="126" spans="1:9" ht="16.5" x14ac:dyDescent="0.25">
      <c r="A126" s="273"/>
      <c r="B126" s="264">
        <f>B125+1</f>
        <v>82</v>
      </c>
      <c r="C126" s="275" t="s">
        <v>513</v>
      </c>
      <c r="D126" s="276" t="s">
        <v>18</v>
      </c>
      <c r="E126" s="274">
        <v>78000</v>
      </c>
      <c r="G126" s="230">
        <f>E126*30%</f>
        <v>23400</v>
      </c>
      <c r="H126" s="230">
        <f>E126+G126</f>
        <v>101400</v>
      </c>
    </row>
    <row r="127" spans="1:9" ht="16.5" x14ac:dyDescent="0.25">
      <c r="A127" s="273"/>
      <c r="B127" s="264">
        <f>B126+1</f>
        <v>83</v>
      </c>
      <c r="C127" s="275" t="s">
        <v>514</v>
      </c>
      <c r="D127" s="276" t="s">
        <v>18</v>
      </c>
      <c r="E127" s="274">
        <v>129500</v>
      </c>
    </row>
    <row r="128" spans="1:9" ht="16.5" x14ac:dyDescent="0.25">
      <c r="A128" s="273"/>
      <c r="B128" s="243">
        <f>B127+1</f>
        <v>84</v>
      </c>
      <c r="C128" s="270" t="s">
        <v>201</v>
      </c>
      <c r="D128" s="271" t="s">
        <v>18</v>
      </c>
      <c r="E128" s="266">
        <v>188850</v>
      </c>
    </row>
    <row r="129" spans="1:5" ht="16.5" x14ac:dyDescent="0.25">
      <c r="A129" s="273"/>
      <c r="B129" s="243">
        <f t="shared" si="3"/>
        <v>85</v>
      </c>
      <c r="C129" s="277" t="s">
        <v>233</v>
      </c>
      <c r="D129" s="271" t="s">
        <v>206</v>
      </c>
      <c r="E129" s="266">
        <v>42000</v>
      </c>
    </row>
    <row r="130" spans="1:5" ht="16.5" x14ac:dyDescent="0.25">
      <c r="A130" s="273"/>
      <c r="B130" s="243">
        <f t="shared" si="3"/>
        <v>86</v>
      </c>
      <c r="C130" s="277" t="s">
        <v>236</v>
      </c>
      <c r="D130" s="271" t="s">
        <v>137</v>
      </c>
      <c r="E130" s="266">
        <v>145000</v>
      </c>
    </row>
    <row r="131" spans="1:5" ht="16.5" x14ac:dyDescent="0.25">
      <c r="A131" s="273"/>
      <c r="B131" s="243">
        <f t="shared" si="3"/>
        <v>87</v>
      </c>
      <c r="C131" s="277" t="s">
        <v>237</v>
      </c>
      <c r="D131" s="271" t="s">
        <v>137</v>
      </c>
      <c r="E131" s="266">
        <v>196800</v>
      </c>
    </row>
    <row r="132" spans="1:5" ht="16.5" x14ac:dyDescent="0.25">
      <c r="A132" s="273"/>
      <c r="B132" s="243">
        <f t="shared" si="3"/>
        <v>88</v>
      </c>
      <c r="C132" s="277" t="s">
        <v>238</v>
      </c>
      <c r="D132" s="271" t="s">
        <v>137</v>
      </c>
      <c r="E132" s="266">
        <v>5800000</v>
      </c>
    </row>
    <row r="133" spans="1:5" ht="16.5" x14ac:dyDescent="0.25">
      <c r="A133" s="273"/>
      <c r="B133" s="243">
        <f t="shared" si="3"/>
        <v>89</v>
      </c>
      <c r="C133" s="277" t="s">
        <v>288</v>
      </c>
      <c r="D133" s="271" t="s">
        <v>297</v>
      </c>
      <c r="E133" s="266">
        <v>20000</v>
      </c>
    </row>
    <row r="134" spans="1:5" ht="16.5" x14ac:dyDescent="0.25">
      <c r="A134" s="273"/>
      <c r="B134" s="243">
        <f t="shared" si="3"/>
        <v>90</v>
      </c>
      <c r="C134" s="277" t="s">
        <v>565</v>
      </c>
      <c r="D134" s="271" t="s">
        <v>137</v>
      </c>
      <c r="E134" s="266">
        <v>8000</v>
      </c>
    </row>
    <row r="135" spans="1:5" ht="18" x14ac:dyDescent="0.25">
      <c r="A135" s="273"/>
      <c r="B135" s="243">
        <f t="shared" si="3"/>
        <v>91</v>
      </c>
      <c r="C135" s="277" t="s">
        <v>289</v>
      </c>
      <c r="D135" s="244" t="s">
        <v>256</v>
      </c>
      <c r="E135" s="266">
        <v>480000</v>
      </c>
    </row>
    <row r="136" spans="1:5" ht="18" x14ac:dyDescent="0.25">
      <c r="A136" s="273"/>
      <c r="B136" s="243">
        <f t="shared" si="3"/>
        <v>92</v>
      </c>
      <c r="C136" s="277" t="s">
        <v>290</v>
      </c>
      <c r="D136" s="244" t="s">
        <v>424</v>
      </c>
      <c r="E136" s="266">
        <v>100000</v>
      </c>
    </row>
    <row r="137" spans="1:5" ht="18" x14ac:dyDescent="0.25">
      <c r="A137" s="273"/>
      <c r="B137" s="243">
        <f t="shared" si="3"/>
        <v>93</v>
      </c>
      <c r="C137" s="277" t="s">
        <v>291</v>
      </c>
      <c r="D137" s="244" t="s">
        <v>424</v>
      </c>
      <c r="E137" s="266">
        <v>125000</v>
      </c>
    </row>
    <row r="138" spans="1:5" ht="18" x14ac:dyDescent="0.25">
      <c r="A138" s="273"/>
      <c r="B138" s="243">
        <f t="shared" si="3"/>
        <v>94</v>
      </c>
      <c r="C138" s="277" t="s">
        <v>292</v>
      </c>
      <c r="D138" s="244" t="s">
        <v>424</v>
      </c>
      <c r="E138" s="266">
        <v>185000</v>
      </c>
    </row>
    <row r="139" spans="1:5" ht="18" x14ac:dyDescent="0.25">
      <c r="A139" s="273"/>
      <c r="B139" s="243">
        <f t="shared" si="3"/>
        <v>95</v>
      </c>
      <c r="C139" s="277" t="s">
        <v>293</v>
      </c>
      <c r="D139" s="244" t="s">
        <v>424</v>
      </c>
      <c r="E139" s="266">
        <v>205000</v>
      </c>
    </row>
    <row r="140" spans="1:5" ht="18" x14ac:dyDescent="0.25">
      <c r="A140" s="273"/>
      <c r="B140" s="243">
        <f t="shared" si="3"/>
        <v>96</v>
      </c>
      <c r="C140" s="277" t="s">
        <v>294</v>
      </c>
      <c r="D140" s="244" t="s">
        <v>424</v>
      </c>
      <c r="E140" s="266">
        <v>105000</v>
      </c>
    </row>
    <row r="141" spans="1:5" ht="18" x14ac:dyDescent="0.25">
      <c r="A141" s="273"/>
      <c r="B141" s="243">
        <f t="shared" si="3"/>
        <v>97</v>
      </c>
      <c r="C141" s="277" t="s">
        <v>295</v>
      </c>
      <c r="D141" s="244" t="s">
        <v>424</v>
      </c>
      <c r="E141" s="266">
        <v>152500</v>
      </c>
    </row>
    <row r="142" spans="1:5" ht="18" x14ac:dyDescent="0.25">
      <c r="A142" s="273"/>
      <c r="B142" s="243">
        <f t="shared" si="3"/>
        <v>98</v>
      </c>
      <c r="C142" s="277" t="s">
        <v>286</v>
      </c>
      <c r="D142" s="244" t="s">
        <v>424</v>
      </c>
      <c r="E142" s="266">
        <v>98000</v>
      </c>
    </row>
    <row r="143" spans="1:5" ht="18" x14ac:dyDescent="0.25">
      <c r="A143" s="273"/>
      <c r="B143" s="243">
        <f t="shared" si="3"/>
        <v>99</v>
      </c>
      <c r="C143" s="277" t="s">
        <v>287</v>
      </c>
      <c r="D143" s="244" t="s">
        <v>424</v>
      </c>
      <c r="E143" s="266">
        <v>78500</v>
      </c>
    </row>
    <row r="144" spans="1:5" ht="18" x14ac:dyDescent="0.25">
      <c r="A144" s="273"/>
      <c r="B144" s="243">
        <f t="shared" si="3"/>
        <v>100</v>
      </c>
      <c r="C144" s="277" t="s">
        <v>296</v>
      </c>
      <c r="D144" s="244" t="s">
        <v>256</v>
      </c>
      <c r="E144" s="266">
        <v>850000</v>
      </c>
    </row>
    <row r="145" spans="1:5" ht="15.75" thickBot="1" x14ac:dyDescent="0.3">
      <c r="A145" s="278"/>
      <c r="B145" s="279"/>
      <c r="C145" s="279"/>
      <c r="D145" s="280"/>
      <c r="E145" s="281"/>
    </row>
    <row r="146" spans="1:5" ht="15.75" thickTop="1" x14ac:dyDescent="0.25"/>
  </sheetData>
  <mergeCells count="2">
    <mergeCell ref="B2:C2"/>
    <mergeCell ref="A1:E1"/>
  </mergeCells>
  <pageMargins left="1.1811023622047245" right="0.70866141732283472" top="0.55118110236220474" bottom="0.74803149606299213" header="0.31496062992125984" footer="0.31496062992125984"/>
  <pageSetup paperSize="9" scale="85" orientation="portrait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REKAP</vt:lpstr>
      <vt:lpstr>RAB</vt:lpstr>
      <vt:lpstr>BackUp_Data</vt:lpstr>
      <vt:lpstr>Besi</vt:lpstr>
      <vt:lpstr>AHSP</vt:lpstr>
      <vt:lpstr>HARGA BAHAN</vt:lpstr>
      <vt:lpstr>AHSP!Print_Area</vt:lpstr>
      <vt:lpstr>BackUp_Data!Print_Area</vt:lpstr>
      <vt:lpstr>Besi!Print_Area</vt:lpstr>
      <vt:lpstr>'HARGA BAHAN'!Print_Area</vt:lpstr>
      <vt:lpstr>RAB!Print_Area</vt:lpstr>
      <vt:lpstr>REKAP!Print_Area</vt:lpstr>
      <vt:lpstr>'HARGA BAHAN'!Print_Titles</vt:lpstr>
      <vt:lpstr>RAB!Print_Titles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Tuti Oktavianita</dc:creator>
  <cp:lastModifiedBy>OTNIEL T SITANGGANG</cp:lastModifiedBy>
  <cp:lastPrinted>2023-04-06T03:58:26Z</cp:lastPrinted>
  <dcterms:created xsi:type="dcterms:W3CDTF">2020-08-01T06:22:35Z</dcterms:created>
  <dcterms:modified xsi:type="dcterms:W3CDTF">2023-05-12T02:40:55Z</dcterms:modified>
</cp:coreProperties>
</file>