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rtanian_Provsu_Karo\"/>
    </mc:Choice>
  </mc:AlternateContent>
  <xr:revisionPtr revIDLastSave="0" documentId="13_ncr:1_{6317EE76-FD47-4A2A-8FE5-83B4CD3A632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KAP" sheetId="5" r:id="rId1"/>
    <sheet name="RAB" sheetId="3" r:id="rId2"/>
    <sheet name="BackUp_Data" sheetId="8" r:id="rId3"/>
    <sheet name="Besi" sheetId="9" r:id="rId4"/>
    <sheet name="AHSP" sheetId="6" r:id="rId5"/>
    <sheet name="AHSP_copy" sheetId="10" r:id="rId6"/>
    <sheet name="HARGA BAHAN" sheetId="4" r:id="rId7"/>
    <sheet name="HARGA BAHAN_COPY" sheetId="12" r:id="rId8"/>
  </sheets>
  <definedNames>
    <definedName name="_xlnm.Print_Area" localSheetId="4">AHSP!$A$1:$F$1741</definedName>
    <definedName name="_xlnm.Print_Area" localSheetId="5">AHSP_copy!$A$1:$F$983</definedName>
    <definedName name="_xlnm.Print_Area" localSheetId="2">BackUp_Data!$A$1:$J$136</definedName>
    <definedName name="_xlnm.Print_Area" localSheetId="3">Besi!$A$1:$J$121</definedName>
    <definedName name="_xlnm.Print_Area" localSheetId="6">'HARGA BAHAN'!$A$1:$E$156</definedName>
    <definedName name="_xlnm.Print_Area" localSheetId="7">'HARGA BAHAN_COPY'!$A$1:$E$145</definedName>
    <definedName name="_xlnm.Print_Area" localSheetId="1">RAB!$A$1:$H$80</definedName>
    <definedName name="_xlnm.Print_Area" localSheetId="0">REKAP!$A$1:$D$44</definedName>
    <definedName name="_xlnm.Print_Titles" localSheetId="6">'HARGA BAHAN'!$2:$2</definedName>
    <definedName name="_xlnm.Print_Titles" localSheetId="7">'HARGA BAHAN_COPY'!$2:$2</definedName>
    <definedName name="_xlnm.Print_Titles" localSheetId="1">RAB!$7:$7</definedName>
  </definedNames>
  <calcPr calcId="181029"/>
</workbook>
</file>

<file path=xl/calcChain.xml><?xml version="1.0" encoding="utf-8"?>
<calcChain xmlns="http://schemas.openxmlformats.org/spreadsheetml/2006/main">
  <c r="B114" i="12" l="1"/>
  <c r="G125" i="12"/>
  <c r="H125" i="12" s="1"/>
  <c r="E124" i="12"/>
  <c r="E111" i="12"/>
  <c r="E97" i="12"/>
  <c r="E95" i="12"/>
  <c r="E93" i="12"/>
  <c r="G86" i="12"/>
  <c r="G83" i="12"/>
  <c r="G82" i="12"/>
  <c r="G81" i="12"/>
  <c r="G80" i="12"/>
  <c r="E77" i="12"/>
  <c r="E76" i="12"/>
  <c r="E74" i="12"/>
  <c r="E73" i="12"/>
  <c r="E72" i="12"/>
  <c r="E71" i="12"/>
  <c r="E67" i="12"/>
  <c r="E68" i="12" s="1"/>
  <c r="E64" i="12"/>
  <c r="E62" i="12"/>
  <c r="E61" i="12"/>
  <c r="I60" i="12"/>
  <c r="E57" i="12"/>
  <c r="E55" i="12"/>
  <c r="E54" i="12"/>
  <c r="E51" i="12"/>
  <c r="E52" i="12" s="1"/>
  <c r="E49" i="12"/>
  <c r="E50" i="12" s="1"/>
  <c r="E45" i="12"/>
  <c r="G44" i="12"/>
  <c r="E44" i="12" s="1"/>
  <c r="E43" i="12"/>
  <c r="E41" i="12"/>
  <c r="E39" i="12"/>
  <c r="E35" i="12"/>
  <c r="G32" i="12"/>
  <c r="G31" i="12"/>
  <c r="G28" i="12"/>
  <c r="G26" i="12"/>
  <c r="K25" i="12"/>
  <c r="E25" i="12"/>
  <c r="E24" i="12"/>
  <c r="K23" i="12"/>
  <c r="E23" i="12"/>
  <c r="G22" i="12"/>
  <c r="G21" i="12"/>
  <c r="G20" i="12"/>
  <c r="G17" i="12"/>
  <c r="E16" i="12"/>
  <c r="G15" i="12"/>
  <c r="E13" i="12"/>
  <c r="G12" i="12"/>
  <c r="G11" i="12"/>
  <c r="B11" i="12"/>
  <c r="B12" i="12" s="1"/>
  <c r="B14" i="12" s="1"/>
  <c r="B15" i="12" s="1"/>
  <c r="B17" i="12" s="1"/>
  <c r="B19" i="12" s="1"/>
  <c r="B20" i="12" s="1"/>
  <c r="B21" i="12" s="1"/>
  <c r="B22" i="12" s="1"/>
  <c r="G10" i="12"/>
  <c r="G7" i="12"/>
  <c r="G6" i="12"/>
  <c r="G5" i="12"/>
  <c r="G4" i="12"/>
  <c r="E106" i="4"/>
  <c r="E63" i="4"/>
  <c r="E58" i="4"/>
  <c r="E56" i="4"/>
  <c r="E46" i="4"/>
  <c r="B23" i="12" l="1"/>
  <c r="B25" i="12" s="1"/>
  <c r="B26" i="12" s="1"/>
  <c r="B27" i="12"/>
  <c r="B28" i="12" s="1"/>
  <c r="B29" i="12" s="1"/>
  <c r="B30" i="12" s="1"/>
  <c r="B31" i="12" s="1"/>
  <c r="B32" i="12" s="1"/>
  <c r="B33" i="12" s="1"/>
  <c r="B35" i="12" s="1"/>
  <c r="A5" i="3"/>
  <c r="A4" i="3"/>
  <c r="A3" i="3"/>
  <c r="A2" i="3"/>
  <c r="E279" i="10"/>
  <c r="F279" i="10" s="1"/>
  <c r="E280" i="10"/>
  <c r="F280" i="10" s="1"/>
  <c r="E281" i="10"/>
  <c r="F281" i="10" s="1"/>
  <c r="E282" i="10"/>
  <c r="F282" i="10" s="1"/>
  <c r="E285" i="10"/>
  <c r="F285" i="10" s="1"/>
  <c r="E286" i="10"/>
  <c r="F286" i="10" s="1"/>
  <c r="E287" i="10"/>
  <c r="F287" i="10" s="1"/>
  <c r="E288" i="10"/>
  <c r="F288" i="10" s="1"/>
  <c r="F292" i="10"/>
  <c r="F980" i="10"/>
  <c r="E976" i="10"/>
  <c r="F976" i="10" s="1"/>
  <c r="E975" i="10"/>
  <c r="F975" i="10" s="1"/>
  <c r="E974" i="10"/>
  <c r="F974" i="10" s="1"/>
  <c r="E973" i="10"/>
  <c r="F973" i="10" s="1"/>
  <c r="E972" i="10"/>
  <c r="F972" i="10" s="1"/>
  <c r="E971" i="10"/>
  <c r="F971" i="10" s="1"/>
  <c r="E970" i="10"/>
  <c r="F970" i="10" s="1"/>
  <c r="E969" i="10"/>
  <c r="F969" i="10" s="1"/>
  <c r="E966" i="10"/>
  <c r="F966" i="10" s="1"/>
  <c r="F967" i="10" s="1"/>
  <c r="E953" i="10"/>
  <c r="F953" i="10" s="1"/>
  <c r="E952" i="10"/>
  <c r="F952" i="10" s="1"/>
  <c r="E949" i="10"/>
  <c r="F949" i="10" s="1"/>
  <c r="E948" i="10"/>
  <c r="F948" i="10" s="1"/>
  <c r="E947" i="10"/>
  <c r="F947" i="10" s="1"/>
  <c r="E946" i="10"/>
  <c r="F946" i="10" s="1"/>
  <c r="E932" i="10"/>
  <c r="F932" i="10" s="1"/>
  <c r="E931" i="10"/>
  <c r="F931" i="10" s="1"/>
  <c r="E928" i="10"/>
  <c r="D928" i="10"/>
  <c r="E927" i="10"/>
  <c r="D927" i="10"/>
  <c r="E926" i="10"/>
  <c r="D926" i="10"/>
  <c r="E925" i="10"/>
  <c r="D925" i="10"/>
  <c r="E912" i="10"/>
  <c r="F912" i="10" s="1"/>
  <c r="E911" i="10"/>
  <c r="F911" i="10" s="1"/>
  <c r="F914" i="10" s="1"/>
  <c r="E908" i="10"/>
  <c r="F908" i="10" s="1"/>
  <c r="E907" i="10"/>
  <c r="F907" i="10" s="1"/>
  <c r="E906" i="10"/>
  <c r="F906" i="10" s="1"/>
  <c r="E905" i="10"/>
  <c r="F905" i="10" s="1"/>
  <c r="E892" i="10"/>
  <c r="F892" i="10" s="1"/>
  <c r="F893" i="10" s="1"/>
  <c r="E889" i="10"/>
  <c r="F889" i="10" s="1"/>
  <c r="E888" i="10"/>
  <c r="F888" i="10" s="1"/>
  <c r="E887" i="10"/>
  <c r="F887" i="10" s="1"/>
  <c r="E886" i="10"/>
  <c r="F886" i="10" s="1"/>
  <c r="E873" i="10"/>
  <c r="F873" i="10" s="1"/>
  <c r="E870" i="10"/>
  <c r="F870" i="10" s="1"/>
  <c r="E869" i="10"/>
  <c r="F869" i="10" s="1"/>
  <c r="E868" i="10"/>
  <c r="F868" i="10" s="1"/>
  <c r="E867" i="10"/>
  <c r="F867" i="10" s="1"/>
  <c r="E854" i="10"/>
  <c r="E855" i="10" s="1"/>
  <c r="F855" i="10" s="1"/>
  <c r="E851" i="10"/>
  <c r="F851" i="10" s="1"/>
  <c r="E850" i="10"/>
  <c r="F850" i="10" s="1"/>
  <c r="E849" i="10"/>
  <c r="F849" i="10" s="1"/>
  <c r="E848" i="10"/>
  <c r="F848" i="10" s="1"/>
  <c r="E835" i="10"/>
  <c r="F835" i="10" s="1"/>
  <c r="E832" i="10"/>
  <c r="F832" i="10" s="1"/>
  <c r="E831" i="10"/>
  <c r="F831" i="10" s="1"/>
  <c r="E830" i="10"/>
  <c r="F830" i="10" s="1"/>
  <c r="E829" i="10"/>
  <c r="F829" i="10" s="1"/>
  <c r="E816" i="10"/>
  <c r="F816" i="10" s="1"/>
  <c r="E813" i="10"/>
  <c r="F813" i="10" s="1"/>
  <c r="E812" i="10"/>
  <c r="F812" i="10" s="1"/>
  <c r="E811" i="10"/>
  <c r="F811" i="10" s="1"/>
  <c r="E810" i="10"/>
  <c r="F810" i="10" s="1"/>
  <c r="E797" i="10"/>
  <c r="F797" i="10" s="1"/>
  <c r="E794" i="10"/>
  <c r="F794" i="10" s="1"/>
  <c r="E793" i="10"/>
  <c r="F793" i="10" s="1"/>
  <c r="E792" i="10"/>
  <c r="F792" i="10" s="1"/>
  <c r="E791" i="10"/>
  <c r="F791" i="10" s="1"/>
  <c r="F782" i="10"/>
  <c r="E778" i="10"/>
  <c r="F778" i="10" s="1"/>
  <c r="E777" i="10"/>
  <c r="F777" i="10" s="1"/>
  <c r="E774" i="10"/>
  <c r="F774" i="10" s="1"/>
  <c r="E773" i="10"/>
  <c r="F773" i="10" s="1"/>
  <c r="E772" i="10"/>
  <c r="F772" i="10" s="1"/>
  <c r="E771" i="10"/>
  <c r="F771" i="10" s="1"/>
  <c r="F762" i="10"/>
  <c r="E758" i="10"/>
  <c r="F758" i="10" s="1"/>
  <c r="E757" i="10"/>
  <c r="F757" i="10" s="1"/>
  <c r="E754" i="10"/>
  <c r="F754" i="10" s="1"/>
  <c r="E753" i="10"/>
  <c r="F753" i="10" s="1"/>
  <c r="E752" i="10"/>
  <c r="F752" i="10" s="1"/>
  <c r="E751" i="10"/>
  <c r="F751" i="10" s="1"/>
  <c r="F742" i="10"/>
  <c r="E738" i="10"/>
  <c r="F738" i="10" s="1"/>
  <c r="E737" i="10"/>
  <c r="F737" i="10" s="1"/>
  <c r="E734" i="10"/>
  <c r="F734" i="10" s="1"/>
  <c r="E733" i="10"/>
  <c r="F733" i="10" s="1"/>
  <c r="E732" i="10"/>
  <c r="F732" i="10" s="1"/>
  <c r="E731" i="10"/>
  <c r="F731" i="10" s="1"/>
  <c r="F722" i="10"/>
  <c r="E718" i="10"/>
  <c r="F718" i="10" s="1"/>
  <c r="E717" i="10"/>
  <c r="F717" i="10" s="1"/>
  <c r="E714" i="10"/>
  <c r="F714" i="10" s="1"/>
  <c r="E713" i="10"/>
  <c r="F713" i="10" s="1"/>
  <c r="E712" i="10"/>
  <c r="F712" i="10" s="1"/>
  <c r="E711" i="10"/>
  <c r="F711" i="10" s="1"/>
  <c r="F702" i="10"/>
  <c r="E697" i="10"/>
  <c r="F697" i="10" s="1"/>
  <c r="F699" i="10" s="1"/>
  <c r="E694" i="10"/>
  <c r="F694" i="10" s="1"/>
  <c r="E693" i="10"/>
  <c r="F693" i="10" s="1"/>
  <c r="E681" i="10"/>
  <c r="F681" i="10" s="1"/>
  <c r="E680" i="10"/>
  <c r="F680" i="10" s="1"/>
  <c r="E679" i="10"/>
  <c r="F679" i="10" s="1"/>
  <c r="E678" i="10"/>
  <c r="F678" i="10" s="1"/>
  <c r="E677" i="10"/>
  <c r="F677" i="10" s="1"/>
  <c r="E676" i="10"/>
  <c r="F676" i="10" s="1"/>
  <c r="E675" i="10"/>
  <c r="F675" i="10" s="1"/>
  <c r="E672" i="10"/>
  <c r="F672" i="10" s="1"/>
  <c r="E671" i="10"/>
  <c r="F671" i="10" s="1"/>
  <c r="E670" i="10"/>
  <c r="F670" i="10" s="1"/>
  <c r="E669" i="10"/>
  <c r="F669" i="10" s="1"/>
  <c r="F660" i="10"/>
  <c r="E656" i="10"/>
  <c r="F656" i="10" s="1"/>
  <c r="E655" i="10"/>
  <c r="F655" i="10" s="1"/>
  <c r="E652" i="10"/>
  <c r="F652" i="10" s="1"/>
  <c r="E651" i="10"/>
  <c r="F651" i="10" s="1"/>
  <c r="E650" i="10"/>
  <c r="F650" i="10" s="1"/>
  <c r="E649" i="10"/>
  <c r="F649" i="10" s="1"/>
  <c r="F640" i="10"/>
  <c r="E636" i="10"/>
  <c r="F636" i="10" s="1"/>
  <c r="E635" i="10"/>
  <c r="F635" i="10" s="1"/>
  <c r="E634" i="10"/>
  <c r="F634" i="10" s="1"/>
  <c r="E631" i="10"/>
  <c r="F631" i="10" s="1"/>
  <c r="E630" i="10"/>
  <c r="F630" i="10" s="1"/>
  <c r="E629" i="10"/>
  <c r="F629" i="10" s="1"/>
  <c r="E628" i="10"/>
  <c r="F628" i="10" s="1"/>
  <c r="F619" i="10"/>
  <c r="E615" i="10"/>
  <c r="F615" i="10" s="1"/>
  <c r="E614" i="10"/>
  <c r="F614" i="10" s="1"/>
  <c r="E611" i="10"/>
  <c r="F611" i="10" s="1"/>
  <c r="E610" i="10"/>
  <c r="F610" i="10" s="1"/>
  <c r="E609" i="10"/>
  <c r="F609" i="10" s="1"/>
  <c r="E608" i="10"/>
  <c r="F608" i="10" s="1"/>
  <c r="F599" i="10"/>
  <c r="E595" i="10"/>
  <c r="F595" i="10" s="1"/>
  <c r="E594" i="10"/>
  <c r="F594" i="10" s="1"/>
  <c r="E589" i="10"/>
  <c r="F589" i="10" s="1"/>
  <c r="E588" i="10"/>
  <c r="F588" i="10" s="1"/>
  <c r="E587" i="10"/>
  <c r="F587" i="10" s="1"/>
  <c r="E586" i="10"/>
  <c r="F586" i="10" s="1"/>
  <c r="F577" i="10"/>
  <c r="E573" i="10"/>
  <c r="F573" i="10" s="1"/>
  <c r="E572" i="10"/>
  <c r="F572" i="10" s="1"/>
  <c r="E567" i="10"/>
  <c r="F567" i="10" s="1"/>
  <c r="E566" i="10"/>
  <c r="F566" i="10" s="1"/>
  <c r="E565" i="10"/>
  <c r="F565" i="10" s="1"/>
  <c r="E564" i="10"/>
  <c r="F564" i="10" s="1"/>
  <c r="F555" i="10"/>
  <c r="E551" i="10"/>
  <c r="F551" i="10" s="1"/>
  <c r="E550" i="10"/>
  <c r="F550" i="10" s="1"/>
  <c r="E548" i="10"/>
  <c r="F548" i="10" s="1"/>
  <c r="E545" i="10"/>
  <c r="F545" i="10" s="1"/>
  <c r="E544" i="10"/>
  <c r="F544" i="10" s="1"/>
  <c r="E543" i="10"/>
  <c r="F543" i="10" s="1"/>
  <c r="E542" i="10"/>
  <c r="F542" i="10" s="1"/>
  <c r="F533" i="10"/>
  <c r="E529" i="10"/>
  <c r="F529" i="10" s="1"/>
  <c r="E528" i="10"/>
  <c r="F528" i="10" s="1"/>
  <c r="E526" i="10"/>
  <c r="F526" i="10" s="1"/>
  <c r="E523" i="10"/>
  <c r="F523" i="10" s="1"/>
  <c r="E522" i="10"/>
  <c r="F522" i="10" s="1"/>
  <c r="E521" i="10"/>
  <c r="F521" i="10" s="1"/>
  <c r="E520" i="10"/>
  <c r="F520" i="10" s="1"/>
  <c r="F511" i="10"/>
  <c r="E507" i="10"/>
  <c r="F507" i="10" s="1"/>
  <c r="F508" i="10" s="1"/>
  <c r="E504" i="10"/>
  <c r="F504" i="10" s="1"/>
  <c r="E503" i="10"/>
  <c r="F503" i="10" s="1"/>
  <c r="E502" i="10"/>
  <c r="F502" i="10" s="1"/>
  <c r="E501" i="10"/>
  <c r="F501" i="10" s="1"/>
  <c r="F492" i="10"/>
  <c r="E488" i="10"/>
  <c r="F488" i="10" s="1"/>
  <c r="E487" i="10"/>
  <c r="F487" i="10" s="1"/>
  <c r="E484" i="10"/>
  <c r="F484" i="10" s="1"/>
  <c r="E483" i="10"/>
  <c r="F483" i="10" s="1"/>
  <c r="E482" i="10"/>
  <c r="F482" i="10" s="1"/>
  <c r="E481" i="10"/>
  <c r="F481" i="10" s="1"/>
  <c r="F472" i="10"/>
  <c r="E468" i="10"/>
  <c r="F468" i="10" s="1"/>
  <c r="F469" i="10" s="1"/>
  <c r="E465" i="10"/>
  <c r="F465" i="10" s="1"/>
  <c r="E464" i="10"/>
  <c r="F464" i="10" s="1"/>
  <c r="E463" i="10"/>
  <c r="F463" i="10" s="1"/>
  <c r="E462" i="10"/>
  <c r="F462" i="10" s="1"/>
  <c r="F453" i="10"/>
  <c r="E449" i="10"/>
  <c r="F449" i="10" s="1"/>
  <c r="F450" i="10" s="1"/>
  <c r="E446" i="10"/>
  <c r="F446" i="10" s="1"/>
  <c r="E445" i="10"/>
  <c r="F445" i="10" s="1"/>
  <c r="E444" i="10"/>
  <c r="F444" i="10" s="1"/>
  <c r="E443" i="10"/>
  <c r="F443" i="10" s="1"/>
  <c r="F434" i="10"/>
  <c r="E430" i="10"/>
  <c r="F430" i="10" s="1"/>
  <c r="E429" i="10"/>
  <c r="F429" i="10" s="1"/>
  <c r="E426" i="10"/>
  <c r="F426" i="10" s="1"/>
  <c r="E425" i="10"/>
  <c r="F425" i="10" s="1"/>
  <c r="E424" i="10"/>
  <c r="F424" i="10" s="1"/>
  <c r="E423" i="10"/>
  <c r="F423" i="10" s="1"/>
  <c r="F414" i="10"/>
  <c r="E410" i="10"/>
  <c r="F410" i="10" s="1"/>
  <c r="E409" i="10"/>
  <c r="F409" i="10" s="1"/>
  <c r="J406" i="10"/>
  <c r="J407" i="10" s="1"/>
  <c r="E406" i="10"/>
  <c r="F406" i="10" s="1"/>
  <c r="E405" i="10"/>
  <c r="F405" i="10" s="1"/>
  <c r="E404" i="10"/>
  <c r="F404" i="10" s="1"/>
  <c r="E403" i="10"/>
  <c r="F403" i="10" s="1"/>
  <c r="F394" i="10"/>
  <c r="E390" i="10"/>
  <c r="F390" i="10" s="1"/>
  <c r="E389" i="10"/>
  <c r="F389" i="10" s="1"/>
  <c r="E386" i="10"/>
  <c r="F386" i="10" s="1"/>
  <c r="E385" i="10"/>
  <c r="F385" i="10" s="1"/>
  <c r="E384" i="10"/>
  <c r="F384" i="10" s="1"/>
  <c r="E383" i="10"/>
  <c r="F383" i="10" s="1"/>
  <c r="F374" i="10"/>
  <c r="E367" i="10"/>
  <c r="F367" i="10" s="1"/>
  <c r="E366" i="10"/>
  <c r="F366" i="10" s="1"/>
  <c r="E365" i="10"/>
  <c r="F365" i="10" s="1"/>
  <c r="E364" i="10"/>
  <c r="F364" i="10" s="1"/>
  <c r="F355" i="10"/>
  <c r="E351" i="10"/>
  <c r="F351" i="10" s="1"/>
  <c r="E347" i="10"/>
  <c r="F347" i="10" s="1"/>
  <c r="E346" i="10"/>
  <c r="F346" i="10" s="1"/>
  <c r="E345" i="10"/>
  <c r="F345" i="10" s="1"/>
  <c r="E344" i="10"/>
  <c r="F344" i="10" s="1"/>
  <c r="E331" i="10"/>
  <c r="F331" i="10" s="1"/>
  <c r="E330" i="10"/>
  <c r="F330" i="10" s="1"/>
  <c r="E329" i="10"/>
  <c r="F329" i="10" s="1"/>
  <c r="E326" i="10"/>
  <c r="F326" i="10" s="1"/>
  <c r="E325" i="10"/>
  <c r="F325" i="10" s="1"/>
  <c r="E324" i="10"/>
  <c r="F324" i="10" s="1"/>
  <c r="E323" i="10"/>
  <c r="F323" i="10" s="1"/>
  <c r="F314" i="10"/>
  <c r="E310" i="10"/>
  <c r="D310" i="10"/>
  <c r="E309" i="10"/>
  <c r="D309" i="10"/>
  <c r="E308" i="10"/>
  <c r="D308" i="10"/>
  <c r="E307" i="10"/>
  <c r="D307" i="10"/>
  <c r="E304" i="10"/>
  <c r="F304" i="10" s="1"/>
  <c r="E303" i="10"/>
  <c r="F303" i="10" s="1"/>
  <c r="E302" i="10"/>
  <c r="F302" i="10" s="1"/>
  <c r="E301" i="10"/>
  <c r="F301" i="10" s="1"/>
  <c r="F270" i="10"/>
  <c r="E266" i="10"/>
  <c r="F266" i="10" s="1"/>
  <c r="E264" i="10"/>
  <c r="F264" i="10" s="1"/>
  <c r="E261" i="10"/>
  <c r="F261" i="10" s="1"/>
  <c r="E260" i="10"/>
  <c r="F260" i="10" s="1"/>
  <c r="E259" i="10"/>
  <c r="F259" i="10" s="1"/>
  <c r="E258" i="10"/>
  <c r="F258" i="10" s="1"/>
  <c r="F249" i="10"/>
  <c r="E245" i="10"/>
  <c r="F245" i="10" s="1"/>
  <c r="E243" i="10"/>
  <c r="F243" i="10" s="1"/>
  <c r="E240" i="10"/>
  <c r="F240" i="10" s="1"/>
  <c r="E239" i="10"/>
  <c r="F239" i="10" s="1"/>
  <c r="E238" i="10"/>
  <c r="F238" i="10" s="1"/>
  <c r="E237" i="10"/>
  <c r="F237" i="10" s="1"/>
  <c r="F228" i="10"/>
  <c r="E224" i="10"/>
  <c r="F224" i="10" s="1"/>
  <c r="E223" i="10"/>
  <c r="F223" i="10" s="1"/>
  <c r="E222" i="10"/>
  <c r="F222" i="10" s="1"/>
  <c r="E219" i="10"/>
  <c r="F219" i="10" s="1"/>
  <c r="E218" i="10"/>
  <c r="F218" i="10" s="1"/>
  <c r="E217" i="10"/>
  <c r="F217" i="10" s="1"/>
  <c r="E216" i="10"/>
  <c r="F216" i="10" s="1"/>
  <c r="F206" i="10"/>
  <c r="E202" i="10"/>
  <c r="F202" i="10" s="1"/>
  <c r="E201" i="10"/>
  <c r="F201" i="10" s="1"/>
  <c r="E200" i="10"/>
  <c r="F200" i="10" s="1"/>
  <c r="E197" i="10"/>
  <c r="F197" i="10" s="1"/>
  <c r="E196" i="10"/>
  <c r="F196" i="10" s="1"/>
  <c r="E195" i="10"/>
  <c r="F195" i="10" s="1"/>
  <c r="E194" i="10"/>
  <c r="F194" i="10" s="1"/>
  <c r="F185" i="10"/>
  <c r="E181" i="10"/>
  <c r="F181" i="10" s="1"/>
  <c r="E180" i="10"/>
  <c r="F180" i="10" s="1"/>
  <c r="E179" i="10"/>
  <c r="F179" i="10" s="1"/>
  <c r="E176" i="10"/>
  <c r="F176" i="10" s="1"/>
  <c r="E175" i="10"/>
  <c r="F175" i="10" s="1"/>
  <c r="E174" i="10"/>
  <c r="F174" i="10" s="1"/>
  <c r="E173" i="10"/>
  <c r="F173" i="10" s="1"/>
  <c r="F164" i="10"/>
  <c r="E159" i="10"/>
  <c r="F159" i="10" s="1"/>
  <c r="F161" i="10" s="1"/>
  <c r="E156" i="10"/>
  <c r="F156" i="10" s="1"/>
  <c r="E155" i="10"/>
  <c r="F155" i="10" s="1"/>
  <c r="E154" i="10"/>
  <c r="F154" i="10" s="1"/>
  <c r="E153" i="10"/>
  <c r="F153" i="10" s="1"/>
  <c r="F144" i="10"/>
  <c r="E140" i="10"/>
  <c r="F140" i="10" s="1"/>
  <c r="E134" i="10"/>
  <c r="F134" i="10" s="1"/>
  <c r="E133" i="10"/>
  <c r="F133" i="10" s="1"/>
  <c r="E132" i="10"/>
  <c r="F132" i="10" s="1"/>
  <c r="E131" i="10"/>
  <c r="F131" i="10" s="1"/>
  <c r="F122" i="10"/>
  <c r="E118" i="10"/>
  <c r="F118" i="10" s="1"/>
  <c r="E112" i="10"/>
  <c r="F112" i="10" s="1"/>
  <c r="E111" i="10"/>
  <c r="F111" i="10" s="1"/>
  <c r="E110" i="10"/>
  <c r="F110" i="10" s="1"/>
  <c r="E109" i="10"/>
  <c r="F109" i="10" s="1"/>
  <c r="F100" i="10"/>
  <c r="F97" i="10"/>
  <c r="E93" i="10"/>
  <c r="F93" i="10" s="1"/>
  <c r="E92" i="10"/>
  <c r="F92" i="10" s="1"/>
  <c r="F83" i="10"/>
  <c r="F80" i="10"/>
  <c r="E76" i="10"/>
  <c r="F76" i="10" s="1"/>
  <c r="E75" i="10"/>
  <c r="F75" i="10" s="1"/>
  <c r="F66" i="10"/>
  <c r="F63" i="10"/>
  <c r="E59" i="10"/>
  <c r="F59" i="10" s="1"/>
  <c r="E58" i="10"/>
  <c r="F58" i="10" s="1"/>
  <c r="F49" i="10"/>
  <c r="F46" i="10"/>
  <c r="E42" i="10"/>
  <c r="F42" i="10" s="1"/>
  <c r="F43" i="10" s="1"/>
  <c r="F32" i="10"/>
  <c r="F33" i="10" s="1"/>
  <c r="F29" i="10"/>
  <c r="F30" i="10" s="1"/>
  <c r="E26" i="10"/>
  <c r="F26" i="10" s="1"/>
  <c r="E25" i="10"/>
  <c r="F25" i="10" s="1"/>
  <c r="F15" i="10"/>
  <c r="F16" i="10" s="1"/>
  <c r="F12" i="10"/>
  <c r="F13" i="10" s="1"/>
  <c r="E9" i="10"/>
  <c r="F9" i="10" s="1"/>
  <c r="E8" i="10"/>
  <c r="F8" i="10" s="1"/>
  <c r="B36" i="12" l="1"/>
  <c r="B37" i="12" s="1"/>
  <c r="B38" i="12" s="1"/>
  <c r="B40" i="12" s="1"/>
  <c r="B42" i="12" s="1"/>
  <c r="B44" i="12" s="1"/>
  <c r="B45" i="12" s="1"/>
  <c r="B47" i="12" s="1"/>
  <c r="B48" i="12" s="1"/>
  <c r="B49" i="12" s="1"/>
  <c r="B51" i="12" s="1"/>
  <c r="B53" i="12" s="1"/>
  <c r="B55" i="12" s="1"/>
  <c r="B57" i="12" s="1"/>
  <c r="B59" i="12" s="1"/>
  <c r="B61" i="12" s="1"/>
  <c r="B62" i="12" s="1"/>
  <c r="B63" i="12" s="1"/>
  <c r="B66" i="12" s="1"/>
  <c r="B69" i="12" s="1"/>
  <c r="F309" i="10"/>
  <c r="F27" i="10"/>
  <c r="F34" i="10" s="1"/>
  <c r="F35" i="10" s="1"/>
  <c r="F925" i="10"/>
  <c r="F289" i="10"/>
  <c r="F283" i="10"/>
  <c r="F310" i="10"/>
  <c r="F759" i="10"/>
  <c r="F926" i="10"/>
  <c r="F94" i="10"/>
  <c r="F101" i="10" s="1"/>
  <c r="F102" i="10" s="1"/>
  <c r="F103" i="10" s="1"/>
  <c r="F927" i="10"/>
  <c r="F307" i="10"/>
  <c r="F890" i="10"/>
  <c r="F896" i="10" s="1"/>
  <c r="F897" i="10" s="1"/>
  <c r="F898" i="10" s="1"/>
  <c r="F308" i="10"/>
  <c r="F447" i="10"/>
  <c r="F454" i="10" s="1"/>
  <c r="F455" i="10" s="1"/>
  <c r="F456" i="10" s="1"/>
  <c r="F673" i="10"/>
  <c r="F50" i="10"/>
  <c r="F51" i="10" s="1"/>
  <c r="F52" i="10" s="1"/>
  <c r="F427" i="10"/>
  <c r="F695" i="10"/>
  <c r="F703" i="10" s="1"/>
  <c r="F704" i="10" s="1"/>
  <c r="F705" i="10" s="1"/>
  <c r="F719" i="10"/>
  <c r="F77" i="10"/>
  <c r="F84" i="10" s="1"/>
  <c r="F85" i="10" s="1"/>
  <c r="F86" i="10" s="1"/>
  <c r="F632" i="10"/>
  <c r="F203" i="10"/>
  <c r="F928" i="10"/>
  <c r="F909" i="10"/>
  <c r="F917" i="10" s="1"/>
  <c r="F918" i="10" s="1"/>
  <c r="F919" i="10" s="1"/>
  <c r="F505" i="10"/>
  <c r="F512" i="10" s="1"/>
  <c r="F60" i="10"/>
  <c r="F67" i="10" s="1"/>
  <c r="F68" i="10" s="1"/>
  <c r="F69" i="10" s="1"/>
  <c r="F10" i="10"/>
  <c r="F17" i="10" s="1"/>
  <c r="F524" i="10"/>
  <c r="F113" i="10"/>
  <c r="F466" i="10"/>
  <c r="F473" i="10" s="1"/>
  <c r="F474" i="10" s="1"/>
  <c r="F475" i="10" s="1"/>
  <c r="F795" i="10"/>
  <c r="F135" i="10"/>
  <c r="F546" i="10"/>
  <c r="F391" i="10"/>
  <c r="F262" i="10"/>
  <c r="F198" i="10"/>
  <c r="F568" i="10"/>
  <c r="F157" i="10"/>
  <c r="F165" i="10" s="1"/>
  <c r="F225" i="10"/>
  <c r="F327" i="10"/>
  <c r="F657" i="10"/>
  <c r="F715" i="10"/>
  <c r="F755" i="10"/>
  <c r="E874" i="10"/>
  <c r="F874" i="10" s="1"/>
  <c r="F875" i="10" s="1"/>
  <c r="F977" i="10"/>
  <c r="F981" i="10" s="1"/>
  <c r="F934" i="10"/>
  <c r="E933" i="10"/>
  <c r="F933" i="10" s="1"/>
  <c r="F407" i="10"/>
  <c r="F852" i="10"/>
  <c r="F182" i="10"/>
  <c r="F637" i="10"/>
  <c r="E798" i="10"/>
  <c r="F798" i="10" s="1"/>
  <c r="F799" i="10" s="1"/>
  <c r="F332" i="10"/>
  <c r="F335" i="10" s="1"/>
  <c r="F431" i="10"/>
  <c r="F485" i="10"/>
  <c r="F612" i="10"/>
  <c r="F682" i="10"/>
  <c r="F950" i="10"/>
  <c r="F735" i="10"/>
  <c r="F775" i="10"/>
  <c r="F814" i="10"/>
  <c r="F387" i="10"/>
  <c r="F871" i="10"/>
  <c r="F955" i="10"/>
  <c r="E954" i="10"/>
  <c r="F954" i="10" s="1"/>
  <c r="F220" i="10"/>
  <c r="F653" i="10"/>
  <c r="E817" i="10"/>
  <c r="F817" i="10" s="1"/>
  <c r="F818" i="10" s="1"/>
  <c r="F177" i="10"/>
  <c r="F241" i="10"/>
  <c r="F348" i="10"/>
  <c r="F368" i="10"/>
  <c r="F411" i="10"/>
  <c r="F590" i="10"/>
  <c r="F616" i="10"/>
  <c r="F739" i="10"/>
  <c r="F779" i="10"/>
  <c r="F833" i="10"/>
  <c r="F305" i="10"/>
  <c r="F489" i="10"/>
  <c r="E836" i="10"/>
  <c r="F836" i="10" s="1"/>
  <c r="F837" i="10" s="1"/>
  <c r="F854" i="10"/>
  <c r="F856" i="10" s="1"/>
  <c r="E913" i="10"/>
  <c r="F913" i="10" s="1"/>
  <c r="B70" i="12" l="1"/>
  <c r="B73" i="12" s="1"/>
  <c r="B74" i="12" s="1"/>
  <c r="F293" i="10"/>
  <c r="F929" i="10"/>
  <c r="F763" i="10"/>
  <c r="F294" i="10"/>
  <c r="F295" i="10" s="1"/>
  <c r="F685" i="10"/>
  <c r="F687" i="10" s="1"/>
  <c r="F311" i="10"/>
  <c r="F315" i="10" s="1"/>
  <c r="F316" i="10" s="1"/>
  <c r="F317" i="10" s="1"/>
  <c r="F723" i="10"/>
  <c r="F724" i="10" s="1"/>
  <c r="F725" i="10" s="1"/>
  <c r="F435" i="10"/>
  <c r="F436" i="10" s="1"/>
  <c r="F437" i="10" s="1"/>
  <c r="F802" i="10"/>
  <c r="F803" i="10" s="1"/>
  <c r="F804" i="10" s="1"/>
  <c r="F207" i="10"/>
  <c r="F208" i="10" s="1"/>
  <c r="F209" i="10" s="1"/>
  <c r="F36" i="10"/>
  <c r="F186" i="10"/>
  <c r="F187" i="10" s="1"/>
  <c r="F188" i="10" s="1"/>
  <c r="F641" i="10"/>
  <c r="F642" i="10" s="1"/>
  <c r="F643" i="10" s="1"/>
  <c r="F395" i="10"/>
  <c r="F396" i="10" s="1"/>
  <c r="F397" i="10" s="1"/>
  <c r="F743" i="10"/>
  <c r="F744" i="10" s="1"/>
  <c r="F745" i="10" s="1"/>
  <c r="F661" i="10"/>
  <c r="F662" i="10" s="1"/>
  <c r="F663" i="10" s="1"/>
  <c r="F620" i="10"/>
  <c r="F621" i="10" s="1"/>
  <c r="F622" i="10" s="1"/>
  <c r="F336" i="10"/>
  <c r="F337" i="10" s="1"/>
  <c r="F338" i="10" s="1"/>
  <c r="F229" i="10"/>
  <c r="F230" i="10" s="1"/>
  <c r="F231" i="10" s="1"/>
  <c r="F982" i="10"/>
  <c r="F983" i="10" s="1"/>
  <c r="F513" i="10"/>
  <c r="F514" i="10" s="1"/>
  <c r="F764" i="10"/>
  <c r="F765" i="10" s="1"/>
  <c r="F840" i="10"/>
  <c r="F493" i="10"/>
  <c r="F958" i="10"/>
  <c r="F821" i="10"/>
  <c r="F783" i="10"/>
  <c r="F859" i="10"/>
  <c r="F18" i="10"/>
  <c r="F19" i="10" s="1"/>
  <c r="F415" i="10"/>
  <c r="F166" i="10"/>
  <c r="F167" i="10" s="1"/>
  <c r="F937" i="10"/>
  <c r="F878" i="10"/>
  <c r="B75" i="12" l="1"/>
  <c r="B77" i="12" s="1"/>
  <c r="F938" i="10"/>
  <c r="F939" i="10" s="1"/>
  <c r="F860" i="10"/>
  <c r="F861" i="10" s="1"/>
  <c r="F784" i="10"/>
  <c r="F785" i="10" s="1"/>
  <c r="F494" i="10"/>
  <c r="F495" i="10" s="1"/>
  <c r="F841" i="10"/>
  <c r="F842" i="10" s="1"/>
  <c r="F416" i="10"/>
  <c r="F417" i="10" s="1"/>
  <c r="F822" i="10"/>
  <c r="F823" i="10" s="1"/>
  <c r="F879" i="10"/>
  <c r="F880" i="10" s="1"/>
  <c r="F959" i="10"/>
  <c r="F960" i="10" s="1"/>
  <c r="B80" i="12" l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2" i="12" s="1"/>
  <c r="B94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78" i="12"/>
  <c r="B32" i="3"/>
  <c r="B31" i="3"/>
  <c r="H31" i="3"/>
  <c r="E55" i="3"/>
  <c r="H55" i="3" s="1"/>
  <c r="E54" i="3"/>
  <c r="H54" i="3" s="1"/>
  <c r="I114" i="8"/>
  <c r="I115" i="8" s="1"/>
  <c r="I116" i="8" s="1"/>
  <c r="E53" i="3" s="1"/>
  <c r="C114" i="8"/>
  <c r="C116" i="8"/>
  <c r="C110" i="8"/>
  <c r="I110" i="8" s="1"/>
  <c r="D53" i="3"/>
  <c r="C112" i="8"/>
  <c r="C128" i="8"/>
  <c r="E65" i="3"/>
  <c r="D30" i="3"/>
  <c r="H16" i="3" l="1"/>
  <c r="H15" i="3"/>
  <c r="H14" i="3"/>
  <c r="H13" i="3"/>
  <c r="H12" i="3"/>
  <c r="B10" i="3"/>
  <c r="B11" i="3" s="1"/>
  <c r="B12" i="3" s="1"/>
  <c r="B13" i="3" s="1"/>
  <c r="B14" i="3" s="1"/>
  <c r="B15" i="3" s="1"/>
  <c r="B16" i="3" s="1"/>
  <c r="D59" i="3"/>
  <c r="C125" i="8"/>
  <c r="I125" i="8" s="1"/>
  <c r="I126" i="8" s="1"/>
  <c r="E58" i="3" s="1"/>
  <c r="E59" i="3" s="1"/>
  <c r="D58" i="3"/>
  <c r="E35" i="4"/>
  <c r="E1107" i="6" s="1"/>
  <c r="F1107" i="6" s="1"/>
  <c r="E1104" i="6"/>
  <c r="E1103" i="6"/>
  <c r="F1103" i="6" s="1"/>
  <c r="E1102" i="6"/>
  <c r="F1102" i="6" s="1"/>
  <c r="E1101" i="6"/>
  <c r="F1101" i="6" s="1"/>
  <c r="F1112" i="6"/>
  <c r="F1104" i="6"/>
  <c r="F1105" i="6" l="1"/>
  <c r="D42" i="3" l="1"/>
  <c r="D41" i="3"/>
  <c r="D65" i="3"/>
  <c r="D63" i="3"/>
  <c r="E1514" i="6"/>
  <c r="F1514" i="6" s="1"/>
  <c r="E1513" i="6"/>
  <c r="F1513" i="6" s="1"/>
  <c r="E1512" i="6"/>
  <c r="F1512" i="6" s="1"/>
  <c r="E1511" i="6"/>
  <c r="F1511" i="6" s="1"/>
  <c r="E104" i="4"/>
  <c r="E1517" i="6" s="1"/>
  <c r="F1517" i="6" s="1"/>
  <c r="E102" i="4"/>
  <c r="E1498" i="6" s="1"/>
  <c r="F1498" i="6" s="1"/>
  <c r="E1499" i="6" s="1"/>
  <c r="E1495" i="6"/>
  <c r="F1495" i="6" s="1"/>
  <c r="E1494" i="6"/>
  <c r="F1494" i="6" s="1"/>
  <c r="E1493" i="6"/>
  <c r="F1493" i="6" s="1"/>
  <c r="E1473" i="6"/>
  <c r="E1492" i="6"/>
  <c r="F1492" i="6" s="1"/>
  <c r="F1515" i="6" l="1"/>
  <c r="E1518" i="6"/>
  <c r="F1518" i="6" s="1"/>
  <c r="F1519" i="6" s="1"/>
  <c r="F1496" i="6"/>
  <c r="F1499" i="6"/>
  <c r="F1500" i="6" s="1"/>
  <c r="E62" i="4"/>
  <c r="F1522" i="6" l="1"/>
  <c r="F1523" i="6" s="1"/>
  <c r="F1524" i="6" s="1"/>
  <c r="G65" i="3" s="1"/>
  <c r="H65" i="3" s="1"/>
  <c r="F1503" i="6"/>
  <c r="F1504" i="6" s="1"/>
  <c r="F1505" i="6" s="1"/>
  <c r="C122" i="8"/>
  <c r="I122" i="8" s="1"/>
  <c r="I123" i="8" s="1"/>
  <c r="E57" i="3" s="1"/>
  <c r="D57" i="3"/>
  <c r="E759" i="6"/>
  <c r="F759" i="6" s="1"/>
  <c r="E756" i="6"/>
  <c r="F756" i="6" s="1"/>
  <c r="E755" i="6"/>
  <c r="F755" i="6" s="1"/>
  <c r="E754" i="6"/>
  <c r="F754" i="6" s="1"/>
  <c r="E753" i="6"/>
  <c r="F753" i="6" s="1"/>
  <c r="F764" i="6"/>
  <c r="G42" i="3" l="1"/>
  <c r="G41" i="3"/>
  <c r="G63" i="3"/>
  <c r="F757" i="6"/>
  <c r="K23" i="4"/>
  <c r="L112" i="8"/>
  <c r="I111" i="8" l="1"/>
  <c r="I112" i="8" s="1"/>
  <c r="E378" i="6"/>
  <c r="F378" i="6" s="1"/>
  <c r="E377" i="6"/>
  <c r="F377" i="6" s="1"/>
  <c r="E373" i="6"/>
  <c r="F373" i="6" s="1"/>
  <c r="E372" i="6"/>
  <c r="F372" i="6" s="1"/>
  <c r="E371" i="6"/>
  <c r="F371" i="6" s="1"/>
  <c r="E370" i="6"/>
  <c r="F370" i="6" s="1"/>
  <c r="F382" i="6"/>
  <c r="E356" i="6"/>
  <c r="F356" i="6" s="1"/>
  <c r="E355" i="6"/>
  <c r="F355" i="6" s="1"/>
  <c r="E351" i="6"/>
  <c r="F351" i="6" s="1"/>
  <c r="E350" i="6"/>
  <c r="F350" i="6" s="1"/>
  <c r="E329" i="6"/>
  <c r="E349" i="6"/>
  <c r="F349" i="6" s="1"/>
  <c r="E348" i="6"/>
  <c r="F348" i="6" s="1"/>
  <c r="E327" i="6"/>
  <c r="F360" i="6"/>
  <c r="G21" i="4"/>
  <c r="E30" i="3" l="1"/>
  <c r="E376" i="6"/>
  <c r="F376" i="6" s="1"/>
  <c r="F379" i="6" s="1"/>
  <c r="E354" i="6"/>
  <c r="F354" i="6" s="1"/>
  <c r="F357" i="6" s="1"/>
  <c r="F374" i="6"/>
  <c r="F352" i="6"/>
  <c r="D52" i="8"/>
  <c r="I52" i="8" s="1"/>
  <c r="D51" i="8"/>
  <c r="I51" i="8" s="1"/>
  <c r="C50" i="8"/>
  <c r="D50" i="8"/>
  <c r="D49" i="8"/>
  <c r="C49" i="8"/>
  <c r="D48" i="8"/>
  <c r="C48" i="8"/>
  <c r="D47" i="8"/>
  <c r="C47" i="8"/>
  <c r="D46" i="8"/>
  <c r="C46" i="8"/>
  <c r="C45" i="8"/>
  <c r="D45" i="8"/>
  <c r="D74" i="8"/>
  <c r="C74" i="8"/>
  <c r="D73" i="8"/>
  <c r="I73" i="8" s="1"/>
  <c r="D72" i="8"/>
  <c r="I72" i="8" s="1"/>
  <c r="D71" i="8"/>
  <c r="I71" i="8" s="1"/>
  <c r="D63" i="8"/>
  <c r="I63" i="8" s="1"/>
  <c r="D70" i="8"/>
  <c r="I70" i="8" s="1"/>
  <c r="D69" i="8"/>
  <c r="I69" i="8" s="1"/>
  <c r="I67" i="8"/>
  <c r="D68" i="8"/>
  <c r="I68" i="8" s="1"/>
  <c r="D66" i="8"/>
  <c r="I66" i="8" s="1"/>
  <c r="D65" i="8"/>
  <c r="I65" i="8" s="1"/>
  <c r="D64" i="8"/>
  <c r="I64" i="8" s="1"/>
  <c r="C62" i="8"/>
  <c r="I62" i="8" s="1"/>
  <c r="I61" i="8"/>
  <c r="H60" i="8"/>
  <c r="D60" i="8"/>
  <c r="H59" i="8"/>
  <c r="H58" i="8"/>
  <c r="D59" i="8"/>
  <c r="D58" i="8"/>
  <c r="D57" i="8"/>
  <c r="I57" i="8" s="1"/>
  <c r="D56" i="8"/>
  <c r="I56" i="8" s="1"/>
  <c r="D44" i="8"/>
  <c r="I44" i="8" s="1"/>
  <c r="D39" i="8"/>
  <c r="I39" i="8" s="1"/>
  <c r="E42" i="8"/>
  <c r="D43" i="8"/>
  <c r="D42" i="8"/>
  <c r="I45" i="8" l="1"/>
  <c r="I46" i="8"/>
  <c r="I42" i="8"/>
  <c r="I74" i="8"/>
  <c r="I47" i="8"/>
  <c r="I49" i="8"/>
  <c r="I48" i="8"/>
  <c r="I50" i="8"/>
  <c r="F383" i="6"/>
  <c r="F384" i="6" s="1"/>
  <c r="F385" i="6" s="1"/>
  <c r="F361" i="6"/>
  <c r="F362" i="6" s="1"/>
  <c r="F363" i="6" s="1"/>
  <c r="I59" i="8"/>
  <c r="I60" i="8"/>
  <c r="I58" i="8"/>
  <c r="D41" i="8"/>
  <c r="E38" i="8"/>
  <c r="E43" i="8" s="1"/>
  <c r="I43" i="8" s="1"/>
  <c r="D38" i="8"/>
  <c r="E36" i="8"/>
  <c r="E41" i="8" s="1"/>
  <c r="D37" i="8"/>
  <c r="I37" i="8" s="1"/>
  <c r="D36" i="8"/>
  <c r="D34" i="8"/>
  <c r="D33" i="8"/>
  <c r="E33" i="8"/>
  <c r="E34" i="8"/>
  <c r="A77" i="8"/>
  <c r="A80" i="8" s="1"/>
  <c r="A83" i="8" s="1"/>
  <c r="A18" i="8"/>
  <c r="A29" i="8" s="1"/>
  <c r="A32" i="8" s="1"/>
  <c r="D66" i="3"/>
  <c r="E1479" i="6"/>
  <c r="F1479" i="6" s="1"/>
  <c r="E1478" i="6"/>
  <c r="F1478" i="6" s="1"/>
  <c r="E1475" i="6"/>
  <c r="F1475" i="6" s="1"/>
  <c r="E1474" i="6"/>
  <c r="F1474" i="6" s="1"/>
  <c r="F1473" i="6"/>
  <c r="E1472" i="6"/>
  <c r="F1472" i="6" s="1"/>
  <c r="F1483" i="6"/>
  <c r="I131" i="8"/>
  <c r="D64" i="3"/>
  <c r="I128" i="8"/>
  <c r="I129" i="8" s="1"/>
  <c r="E63" i="3" s="1"/>
  <c r="C135" i="8"/>
  <c r="I135" i="8" s="1"/>
  <c r="C134" i="8"/>
  <c r="I134" i="8" s="1"/>
  <c r="A131" i="8"/>
  <c r="A134" i="8" s="1"/>
  <c r="H32" i="3"/>
  <c r="E1459" i="6"/>
  <c r="F1459" i="6" s="1"/>
  <c r="E1458" i="6"/>
  <c r="F1458" i="6" s="1"/>
  <c r="E1455" i="6"/>
  <c r="F1455" i="6" s="1"/>
  <c r="E1435" i="6"/>
  <c r="F1435" i="6" s="1"/>
  <c r="E1454" i="6"/>
  <c r="F1454" i="6" s="1"/>
  <c r="E1453" i="6"/>
  <c r="F1453" i="6" s="1"/>
  <c r="E1452" i="6"/>
  <c r="F1452" i="6" s="1"/>
  <c r="E1432" i="6"/>
  <c r="F1432" i="6" s="1"/>
  <c r="F1463" i="6"/>
  <c r="D24" i="3"/>
  <c r="D56" i="3"/>
  <c r="C119" i="8"/>
  <c r="I119" i="8" s="1"/>
  <c r="C118" i="8"/>
  <c r="I118" i="8" s="1"/>
  <c r="D52" i="3"/>
  <c r="D51" i="3"/>
  <c r="D50" i="3"/>
  <c r="E49" i="3"/>
  <c r="D107" i="8"/>
  <c r="C107" i="8"/>
  <c r="A107" i="8"/>
  <c r="A110" i="8" s="1"/>
  <c r="D45" i="3"/>
  <c r="E1439" i="6"/>
  <c r="F1439" i="6" s="1"/>
  <c r="E1438" i="6"/>
  <c r="F1438" i="6" s="1"/>
  <c r="E1434" i="6"/>
  <c r="F1434" i="6" s="1"/>
  <c r="E1433" i="6"/>
  <c r="F1433" i="6" s="1"/>
  <c r="F1443" i="6"/>
  <c r="D44" i="3"/>
  <c r="D43" i="3"/>
  <c r="I99" i="8"/>
  <c r="I100" i="8" s="1"/>
  <c r="C101" i="8"/>
  <c r="I101" i="8" s="1"/>
  <c r="D40" i="3"/>
  <c r="I96" i="8"/>
  <c r="I97" i="8" s="1"/>
  <c r="E39" i="3" s="1"/>
  <c r="D39" i="3"/>
  <c r="I93" i="8"/>
  <c r="I92" i="8"/>
  <c r="D38" i="3"/>
  <c r="D37" i="3"/>
  <c r="G53" i="3" l="1"/>
  <c r="H53" i="3" s="1"/>
  <c r="G30" i="3"/>
  <c r="H30" i="3" s="1"/>
  <c r="A114" i="8"/>
  <c r="A118" i="8" s="1"/>
  <c r="A122" i="8" s="1"/>
  <c r="A125" i="8" s="1"/>
  <c r="I34" i="8"/>
  <c r="I136" i="8"/>
  <c r="I33" i="8"/>
  <c r="I41" i="8"/>
  <c r="I38" i="8"/>
  <c r="I36" i="8"/>
  <c r="I120" i="8"/>
  <c r="E52" i="3" s="1"/>
  <c r="E56" i="3"/>
  <c r="F1480" i="6"/>
  <c r="F1476" i="6"/>
  <c r="I132" i="8"/>
  <c r="E64" i="3" s="1"/>
  <c r="F1460" i="6"/>
  <c r="F1456" i="6"/>
  <c r="F1440" i="6"/>
  <c r="F1436" i="6"/>
  <c r="I102" i="8"/>
  <c r="E40" i="3" s="1"/>
  <c r="I94" i="8"/>
  <c r="E38" i="3" s="1"/>
  <c r="F1484" i="6" l="1"/>
  <c r="F1485" i="6" s="1"/>
  <c r="F1486" i="6" s="1"/>
  <c r="G66" i="3" s="1"/>
  <c r="I75" i="8"/>
  <c r="E24" i="3" s="1"/>
  <c r="F1464" i="6"/>
  <c r="F1465" i="6" s="1"/>
  <c r="F1466" i="6" s="1"/>
  <c r="G64" i="3" s="1"/>
  <c r="F1444" i="6"/>
  <c r="F1445" i="6" s="1"/>
  <c r="F1446" i="6" s="1"/>
  <c r="G45" i="3" s="1"/>
  <c r="I89" i="8" l="1"/>
  <c r="I90" i="8" s="1"/>
  <c r="E37" i="3" s="1"/>
  <c r="A89" i="8"/>
  <c r="A92" i="8" s="1"/>
  <c r="A96" i="8" s="1"/>
  <c r="A99" i="8" s="1"/>
  <c r="I86" i="8"/>
  <c r="B12" i="5"/>
  <c r="A12" i="5"/>
  <c r="B11" i="5"/>
  <c r="A11" i="5"/>
  <c r="B10" i="5"/>
  <c r="A10" i="5"/>
  <c r="B37" i="3"/>
  <c r="B38" i="3" s="1"/>
  <c r="B39" i="3" s="1"/>
  <c r="D36" i="3"/>
  <c r="E26" i="6"/>
  <c r="F26" i="6" s="1"/>
  <c r="E25" i="6"/>
  <c r="F25" i="6" s="1"/>
  <c r="F32" i="6"/>
  <c r="F33" i="6" s="1"/>
  <c r="F29" i="6"/>
  <c r="F30" i="6" s="1"/>
  <c r="B21" i="3"/>
  <c r="B22" i="3" s="1"/>
  <c r="B23" i="3" s="1"/>
  <c r="B24" i="3" s="1"/>
  <c r="B25" i="3" s="1"/>
  <c r="B30" i="3" s="1"/>
  <c r="I87" i="8" l="1"/>
  <c r="E36" i="3" s="1"/>
  <c r="F27" i="6"/>
  <c r="F34" i="6" s="1"/>
  <c r="F35" i="6" s="1"/>
  <c r="F36" i="6" s="1"/>
  <c r="G36" i="3" s="1"/>
  <c r="C30" i="8"/>
  <c r="I30" i="8" s="1"/>
  <c r="E29" i="3"/>
  <c r="C83" i="8"/>
  <c r="I83" i="8" s="1"/>
  <c r="I84" i="8" s="1"/>
  <c r="E28" i="3" s="1"/>
  <c r="C80" i="8"/>
  <c r="I80" i="8" s="1"/>
  <c r="I81" i="8" s="1"/>
  <c r="E27" i="3" s="1"/>
  <c r="D26" i="3"/>
  <c r="C29" i="8"/>
  <c r="I29" i="8" s="1"/>
  <c r="H26" i="8"/>
  <c r="E25" i="8"/>
  <c r="H25" i="8"/>
  <c r="H24" i="8"/>
  <c r="E24" i="8"/>
  <c r="C15" i="8"/>
  <c r="I15" i="8" s="1"/>
  <c r="C14" i="8"/>
  <c r="I14" i="8" s="1"/>
  <c r="D23" i="3"/>
  <c r="H23" i="8"/>
  <c r="E23" i="8"/>
  <c r="E22" i="8"/>
  <c r="I22" i="8" s="1"/>
  <c r="E21" i="8"/>
  <c r="I21" i="8" s="1"/>
  <c r="H20" i="8"/>
  <c r="H18" i="8"/>
  <c r="I19" i="8"/>
  <c r="E18" i="8"/>
  <c r="E956" i="6"/>
  <c r="F956" i="6" s="1"/>
  <c r="E955" i="6"/>
  <c r="F955" i="6" s="1"/>
  <c r="E954" i="6"/>
  <c r="F954" i="6" s="1"/>
  <c r="E953" i="6"/>
  <c r="F953" i="6" s="1"/>
  <c r="D22" i="3"/>
  <c r="F963" i="6"/>
  <c r="D21" i="3"/>
  <c r="I13" i="8"/>
  <c r="C11" i="8"/>
  <c r="I11" i="8" s="1"/>
  <c r="I12" i="8"/>
  <c r="C10" i="8"/>
  <c r="I10" i="8" s="1"/>
  <c r="E9" i="8"/>
  <c r="E20" i="8" s="1"/>
  <c r="C9" i="8"/>
  <c r="C8" i="8"/>
  <c r="I8" i="8" s="1"/>
  <c r="D20" i="3"/>
  <c r="E127" i="6"/>
  <c r="F127" i="6" s="1"/>
  <c r="E126" i="6"/>
  <c r="F126" i="6" s="1"/>
  <c r="F134" i="6"/>
  <c r="F131" i="6"/>
  <c r="D49" i="3"/>
  <c r="B50" i="3"/>
  <c r="I20" i="8" l="1"/>
  <c r="I31" i="8"/>
  <c r="I18" i="8"/>
  <c r="I23" i="8"/>
  <c r="E26" i="8"/>
  <c r="I26" i="8" s="1"/>
  <c r="I25" i="8"/>
  <c r="I24" i="8"/>
  <c r="F957" i="6"/>
  <c r="I9" i="8"/>
  <c r="I16" i="8" s="1"/>
  <c r="F128" i="6"/>
  <c r="F135" i="6" s="1"/>
  <c r="F136" i="6" s="1"/>
  <c r="F137" i="6" s="1"/>
  <c r="G20" i="3" s="1"/>
  <c r="I27" i="8" l="1"/>
  <c r="E20" i="3"/>
  <c r="E21" i="3"/>
  <c r="E739" i="6" l="1"/>
  <c r="J736" i="6"/>
  <c r="J737" i="6" s="1"/>
  <c r="B14" i="5"/>
  <c r="A14" i="5"/>
  <c r="H77" i="3"/>
  <c r="H76" i="3"/>
  <c r="E795" i="6"/>
  <c r="F795" i="6" s="1"/>
  <c r="E794" i="6"/>
  <c r="F794" i="6" s="1"/>
  <c r="E793" i="6"/>
  <c r="F793" i="6" s="1"/>
  <c r="E774" i="6"/>
  <c r="F774" i="6" s="1"/>
  <c r="F802" i="6"/>
  <c r="I77" i="8"/>
  <c r="I78" i="8" s="1"/>
  <c r="E936" i="6"/>
  <c r="F936" i="6" s="1"/>
  <c r="E935" i="6"/>
  <c r="F935" i="6" s="1"/>
  <c r="E934" i="6"/>
  <c r="F934" i="6" s="1"/>
  <c r="F944" i="6"/>
  <c r="E939" i="6"/>
  <c r="F939" i="6" s="1"/>
  <c r="E776" i="6"/>
  <c r="F776" i="6" s="1"/>
  <c r="E775" i="6"/>
  <c r="F775" i="6" s="1"/>
  <c r="F783" i="6"/>
  <c r="E736" i="6"/>
  <c r="F736" i="6" s="1"/>
  <c r="E735" i="6"/>
  <c r="F735" i="6" s="1"/>
  <c r="E734" i="6"/>
  <c r="F734" i="6" s="1"/>
  <c r="F744" i="6"/>
  <c r="E1670" i="6"/>
  <c r="F1670" i="6" s="1"/>
  <c r="E1669" i="6"/>
  <c r="F1669" i="6" s="1"/>
  <c r="E1648" i="6"/>
  <c r="E1668" i="6"/>
  <c r="F1668" i="6" s="1"/>
  <c r="E1649" i="6"/>
  <c r="E1647" i="6"/>
  <c r="D1649" i="6"/>
  <c r="D1648" i="6"/>
  <c r="D1647" i="6"/>
  <c r="D1646" i="6"/>
  <c r="E1673" i="6"/>
  <c r="F1673" i="6" s="1"/>
  <c r="E55" i="4"/>
  <c r="E1632" i="6" s="1"/>
  <c r="F1632" i="6" s="1"/>
  <c r="F1635" i="6" s="1"/>
  <c r="E52" i="4"/>
  <c r="E53" i="4" s="1"/>
  <c r="E1652" i="6" s="1"/>
  <c r="F1652" i="6" s="1"/>
  <c r="E1629" i="6"/>
  <c r="F1629" i="6" s="1"/>
  <c r="E1628" i="6"/>
  <c r="F1628" i="6" s="1"/>
  <c r="E1627" i="6"/>
  <c r="F1627" i="6" s="1"/>
  <c r="E26" i="3" l="1"/>
  <c r="F1676" i="6"/>
  <c r="F1649" i="6"/>
  <c r="F1648" i="6"/>
  <c r="F1647" i="6"/>
  <c r="F1655" i="6"/>
  <c r="E68" i="4" l="1"/>
  <c r="E69" i="4" s="1"/>
  <c r="E779" i="6" s="1"/>
  <c r="F779" i="6" s="1"/>
  <c r="F780" i="6" s="1"/>
  <c r="E65" i="4"/>
  <c r="D72" i="9" l="1"/>
  <c r="I71" i="9"/>
  <c r="E72" i="9"/>
  <c r="D71" i="9"/>
  <c r="D70" i="9"/>
  <c r="E70" i="9"/>
  <c r="D69" i="9"/>
  <c r="I69" i="9" s="1"/>
  <c r="D68" i="9"/>
  <c r="F68" i="9" s="1"/>
  <c r="E68" i="9"/>
  <c r="D67" i="9"/>
  <c r="I67" i="9" s="1"/>
  <c r="D65" i="9"/>
  <c r="I65" i="9" s="1"/>
  <c r="E66" i="9"/>
  <c r="D66" i="9"/>
  <c r="J74" i="9"/>
  <c r="I74" i="9"/>
  <c r="H74" i="9"/>
  <c r="G74" i="9"/>
  <c r="F74" i="9"/>
  <c r="J73" i="9"/>
  <c r="G73" i="9"/>
  <c r="H73" i="9"/>
  <c r="D56" i="9"/>
  <c r="E54" i="9"/>
  <c r="E56" i="9"/>
  <c r="D55" i="9"/>
  <c r="H55" i="9" s="1"/>
  <c r="D54" i="9"/>
  <c r="D53" i="9"/>
  <c r="E51" i="9"/>
  <c r="E53" i="9"/>
  <c r="D52" i="9"/>
  <c r="H52" i="9" s="1"/>
  <c r="D51" i="9"/>
  <c r="E50" i="9"/>
  <c r="D49" i="9"/>
  <c r="D50" i="9"/>
  <c r="E49" i="9"/>
  <c r="E48" i="9"/>
  <c r="D47" i="9"/>
  <c r="D48" i="9"/>
  <c r="E47" i="9"/>
  <c r="E46" i="9"/>
  <c r="D46" i="9"/>
  <c r="F46" i="9" s="1"/>
  <c r="E45" i="9"/>
  <c r="D45" i="9"/>
  <c r="E44" i="9"/>
  <c r="F44" i="9" s="1"/>
  <c r="D43" i="9"/>
  <c r="H43" i="9" s="1"/>
  <c r="D42" i="9"/>
  <c r="D44" i="9"/>
  <c r="E42" i="9"/>
  <c r="D37" i="9"/>
  <c r="H37" i="9" s="1"/>
  <c r="D40" i="9"/>
  <c r="H40" i="9" s="1"/>
  <c r="E41" i="9"/>
  <c r="D41" i="9"/>
  <c r="E36" i="9"/>
  <c r="E39" i="9"/>
  <c r="D39" i="9"/>
  <c r="I39" i="9" s="1"/>
  <c r="E38" i="9"/>
  <c r="D38" i="9"/>
  <c r="D36" i="9"/>
  <c r="B23" i="9"/>
  <c r="B24" i="9" s="1"/>
  <c r="B25" i="9" s="1"/>
  <c r="B26" i="9" s="1"/>
  <c r="J58" i="9"/>
  <c r="I58" i="9"/>
  <c r="H58" i="9"/>
  <c r="G58" i="9"/>
  <c r="F58" i="9"/>
  <c r="J57" i="9"/>
  <c r="G57" i="9"/>
  <c r="E13" i="9"/>
  <c r="D13" i="9"/>
  <c r="G13" i="9" s="1"/>
  <c r="E12" i="9"/>
  <c r="D12" i="9"/>
  <c r="E11" i="9"/>
  <c r="D11" i="9"/>
  <c r="G11" i="9" s="1"/>
  <c r="E10" i="9"/>
  <c r="D10" i="9"/>
  <c r="E9" i="9"/>
  <c r="D9" i="9"/>
  <c r="G9" i="9" s="1"/>
  <c r="E8" i="9"/>
  <c r="D8" i="9"/>
  <c r="E5" i="9"/>
  <c r="E7" i="9"/>
  <c r="D7" i="9"/>
  <c r="E6" i="9"/>
  <c r="D6" i="9"/>
  <c r="E4" i="9"/>
  <c r="D4" i="9"/>
  <c r="G4" i="9" s="1"/>
  <c r="F66" i="9" l="1"/>
  <c r="H75" i="9"/>
  <c r="J75" i="9"/>
  <c r="F70" i="9"/>
  <c r="I51" i="9"/>
  <c r="F72" i="9"/>
  <c r="G12" i="9"/>
  <c r="J59" i="9"/>
  <c r="F38" i="9"/>
  <c r="I45" i="9"/>
  <c r="I54" i="9"/>
  <c r="F56" i="9"/>
  <c r="F41" i="9"/>
  <c r="G59" i="9"/>
  <c r="I47" i="9"/>
  <c r="I57" i="9" s="1"/>
  <c r="I59" i="9" s="1"/>
  <c r="F73" i="9"/>
  <c r="F75" i="9" s="1"/>
  <c r="G75" i="9"/>
  <c r="I73" i="9"/>
  <c r="I75" i="9" s="1"/>
  <c r="I36" i="9"/>
  <c r="I42" i="9"/>
  <c r="F48" i="9"/>
  <c r="F53" i="9"/>
  <c r="F50" i="9"/>
  <c r="I49" i="9"/>
  <c r="G7" i="9"/>
  <c r="G8" i="9"/>
  <c r="G10" i="9"/>
  <c r="H57" i="9"/>
  <c r="H59" i="9" s="1"/>
  <c r="G6" i="9"/>
  <c r="D23" i="9"/>
  <c r="E22" i="9"/>
  <c r="F57" i="9" l="1"/>
  <c r="F59" i="9" s="1"/>
  <c r="F76" i="9"/>
  <c r="F60" i="9"/>
  <c r="E335" i="6"/>
  <c r="F335" i="6" s="1"/>
  <c r="E334" i="6"/>
  <c r="F334" i="6" s="1"/>
  <c r="E333" i="6"/>
  <c r="F333" i="6" s="1"/>
  <c r="E330" i="6"/>
  <c r="F330" i="6" s="1"/>
  <c r="F329" i="6"/>
  <c r="E328" i="6"/>
  <c r="F328" i="6" s="1"/>
  <c r="F339" i="6"/>
  <c r="E1613" i="6"/>
  <c r="F1613" i="6" s="1"/>
  <c r="F1614" i="6" s="1"/>
  <c r="E1610" i="6"/>
  <c r="F1610" i="6" s="1"/>
  <c r="E1609" i="6"/>
  <c r="F1609" i="6" s="1"/>
  <c r="E1608" i="6"/>
  <c r="F1608" i="6" s="1"/>
  <c r="E1595" i="6"/>
  <c r="F1595" i="6" s="1"/>
  <c r="E1593" i="6"/>
  <c r="F1593" i="6" s="1"/>
  <c r="E1590" i="6"/>
  <c r="F1590" i="6" s="1"/>
  <c r="E1589" i="6"/>
  <c r="F1589" i="6" s="1"/>
  <c r="E1588" i="6"/>
  <c r="F1588" i="6" s="1"/>
  <c r="F336" i="6" l="1"/>
  <c r="E1695" i="6" l="1"/>
  <c r="F1695" i="6" s="1"/>
  <c r="E1693" i="6"/>
  <c r="E1690" i="6"/>
  <c r="F1690" i="6" s="1"/>
  <c r="E1689" i="6"/>
  <c r="F1689" i="6" s="1"/>
  <c r="E1688" i="6"/>
  <c r="F1688" i="6" s="1"/>
  <c r="F1693" i="6" l="1"/>
  <c r="A1713" i="6"/>
  <c r="A1712" i="6"/>
  <c r="A1711" i="6"/>
  <c r="A1710" i="6"/>
  <c r="A1709" i="6"/>
  <c r="A1708" i="6"/>
  <c r="F1714" i="6"/>
  <c r="E1533" i="6"/>
  <c r="F1533" i="6" s="1"/>
  <c r="E1532" i="6"/>
  <c r="F1532" i="6" s="1"/>
  <c r="E1531" i="6"/>
  <c r="F1531" i="6" s="1"/>
  <c r="E1536" i="6"/>
  <c r="F1536" i="6" s="1"/>
  <c r="E1537" i="6" s="1"/>
  <c r="G136" i="4"/>
  <c r="H136" i="4" s="1"/>
  <c r="E1087" i="6"/>
  <c r="F1087" i="6" s="1"/>
  <c r="E42" i="4"/>
  <c r="E1082" i="6"/>
  <c r="F1082" i="6" s="1"/>
  <c r="E1081" i="6"/>
  <c r="F1081" i="6" s="1"/>
  <c r="E1080" i="6"/>
  <c r="F1080" i="6" s="1"/>
  <c r="F1092" i="6"/>
  <c r="E1065" i="6"/>
  <c r="F1065" i="6" s="1"/>
  <c r="E40" i="4"/>
  <c r="E1060" i="6"/>
  <c r="F1060" i="6" s="1"/>
  <c r="E1059" i="6"/>
  <c r="F1059" i="6" s="1"/>
  <c r="E1058" i="6"/>
  <c r="F1058" i="6" s="1"/>
  <c r="F1070" i="6"/>
  <c r="E1085" i="6" l="1"/>
  <c r="F1085" i="6" s="1"/>
  <c r="E592" i="10"/>
  <c r="F592" i="10" s="1"/>
  <c r="E1063" i="6"/>
  <c r="F1063" i="6" s="1"/>
  <c r="E570" i="10"/>
  <c r="F570" i="10" s="1"/>
  <c r="F1537" i="6"/>
  <c r="F1538" i="6" s="1"/>
  <c r="E437" i="6" l="1"/>
  <c r="F437" i="6" s="1"/>
  <c r="E432" i="6"/>
  <c r="F432" i="6" s="1"/>
  <c r="E431" i="6"/>
  <c r="F431" i="6" s="1"/>
  <c r="E430" i="6"/>
  <c r="F430" i="6" s="1"/>
  <c r="F441" i="6"/>
  <c r="D113" i="9"/>
  <c r="D5" i="9"/>
  <c r="G5" i="9" s="1"/>
  <c r="J119" i="9" l="1"/>
  <c r="I119" i="9"/>
  <c r="H119" i="9"/>
  <c r="G119" i="9"/>
  <c r="F119" i="9"/>
  <c r="J118" i="9"/>
  <c r="J120" i="9" s="1"/>
  <c r="H118" i="9"/>
  <c r="H120" i="9" s="1"/>
  <c r="G118" i="9"/>
  <c r="B113" i="9"/>
  <c r="B114" i="9" s="1"/>
  <c r="B115" i="9" s="1"/>
  <c r="B116" i="9" s="1"/>
  <c r="D112" i="9"/>
  <c r="D84" i="9"/>
  <c r="I84" i="9" s="1"/>
  <c r="I90" i="9" s="1"/>
  <c r="E99" i="9"/>
  <c r="D99" i="9"/>
  <c r="D98" i="9"/>
  <c r="J105" i="9"/>
  <c r="I105" i="9"/>
  <c r="H105" i="9"/>
  <c r="G105" i="9"/>
  <c r="F105" i="9"/>
  <c r="J104" i="9"/>
  <c r="G104" i="9"/>
  <c r="B99" i="9"/>
  <c r="B100" i="9" s="1"/>
  <c r="B101" i="9" s="1"/>
  <c r="B102" i="9" s="1"/>
  <c r="I104" i="9"/>
  <c r="D85" i="9"/>
  <c r="J91" i="9"/>
  <c r="I91" i="9"/>
  <c r="H91" i="9"/>
  <c r="G91" i="9"/>
  <c r="F91" i="9"/>
  <c r="J90" i="9"/>
  <c r="H90" i="9"/>
  <c r="B85" i="9"/>
  <c r="B86" i="9" s="1"/>
  <c r="B87" i="9" s="1"/>
  <c r="B88" i="9" s="1"/>
  <c r="G90" i="9"/>
  <c r="E187" i="6"/>
  <c r="F187" i="6" s="1"/>
  <c r="E185" i="6"/>
  <c r="F185" i="6" s="1"/>
  <c r="E182" i="6"/>
  <c r="F182" i="6" s="1"/>
  <c r="E181" i="6"/>
  <c r="F181" i="6" s="1"/>
  <c r="E180" i="6"/>
  <c r="F180" i="6" s="1"/>
  <c r="F191" i="6"/>
  <c r="J106" i="9" l="1"/>
  <c r="G106" i="9"/>
  <c r="F99" i="9"/>
  <c r="J92" i="9"/>
  <c r="G120" i="9"/>
  <c r="I112" i="9"/>
  <c r="I118" i="9" s="1"/>
  <c r="I120" i="9" s="1"/>
  <c r="E113" i="9"/>
  <c r="F113" i="9" s="1"/>
  <c r="F118" i="9" s="1"/>
  <c r="F120" i="9" s="1"/>
  <c r="I106" i="9"/>
  <c r="E85" i="9"/>
  <c r="H98" i="9"/>
  <c r="H104" i="9" s="1"/>
  <c r="H106" i="9" s="1"/>
  <c r="F104" i="9"/>
  <c r="F106" i="9" s="1"/>
  <c r="I92" i="9"/>
  <c r="H92" i="9"/>
  <c r="G92" i="9"/>
  <c r="F121" i="9" l="1"/>
  <c r="F107" i="9"/>
  <c r="F85" i="9"/>
  <c r="F90" i="9" s="1"/>
  <c r="F92" i="9" s="1"/>
  <c r="F93" i="9" s="1"/>
  <c r="E697" i="6" l="1"/>
  <c r="F697" i="6" s="1"/>
  <c r="E696" i="6"/>
  <c r="F696" i="6" s="1"/>
  <c r="E695" i="6"/>
  <c r="F695" i="6" s="1"/>
  <c r="F704" i="6"/>
  <c r="E681" i="6"/>
  <c r="E677" i="6"/>
  <c r="E676" i="6"/>
  <c r="E675" i="6"/>
  <c r="E654" i="6" l="1"/>
  <c r="E655" i="6"/>
  <c r="E656" i="6"/>
  <c r="F685" i="6"/>
  <c r="F681" i="6"/>
  <c r="F677" i="6"/>
  <c r="F676" i="6"/>
  <c r="F675" i="6"/>
  <c r="E161" i="6"/>
  <c r="F161" i="6" s="1"/>
  <c r="F168" i="6"/>
  <c r="F165" i="6"/>
  <c r="B51" i="3" l="1"/>
  <c r="B52" i="3" s="1"/>
  <c r="B53" i="3" s="1"/>
  <c r="B54" i="3" s="1"/>
  <c r="B55" i="3" s="1"/>
  <c r="B56" i="3" s="1"/>
  <c r="B57" i="3" l="1"/>
  <c r="B58" i="3" s="1"/>
  <c r="B59" i="3" s="1"/>
  <c r="K25" i="4"/>
  <c r="E25" i="4"/>
  <c r="H29" i="3"/>
  <c r="E24" i="4"/>
  <c r="G28" i="3" s="1"/>
  <c r="E23" i="4"/>
  <c r="G27" i="3"/>
  <c r="E798" i="6"/>
  <c r="F798" i="6" s="1"/>
  <c r="F799" i="6" s="1"/>
  <c r="H27" i="3" l="1"/>
  <c r="H28" i="3"/>
  <c r="E144" i="6"/>
  <c r="F144" i="6" s="1"/>
  <c r="F151" i="6"/>
  <c r="F148" i="6"/>
  <c r="G26" i="4"/>
  <c r="E50" i="4"/>
  <c r="E51" i="4" s="1"/>
  <c r="E659" i="6" s="1"/>
  <c r="I107" i="8"/>
  <c r="I108" i="8" s="1"/>
  <c r="E51" i="3" s="1"/>
  <c r="I104" i="8"/>
  <c r="I105" i="8" s="1"/>
  <c r="E50" i="3" s="1"/>
  <c r="G95" i="4"/>
  <c r="G92" i="4"/>
  <c r="G91" i="4"/>
  <c r="G90" i="4"/>
  <c r="G89" i="4"/>
  <c r="G20" i="4"/>
  <c r="G22" i="4"/>
  <c r="G11" i="4"/>
  <c r="G10" i="4"/>
  <c r="E1653" i="6" l="1"/>
  <c r="F1653" i="6" s="1"/>
  <c r="E1654" i="6" s="1"/>
  <c r="F1654" i="6" s="1"/>
  <c r="E1633" i="6"/>
  <c r="F1633" i="6" s="1"/>
  <c r="E1634" i="6" s="1"/>
  <c r="F1634" i="6" s="1"/>
  <c r="E1674" i="6"/>
  <c r="F1674" i="6" s="1"/>
  <c r="E1675" i="6" s="1"/>
  <c r="F1675" i="6" s="1"/>
  <c r="E661" i="6"/>
  <c r="F661" i="6" s="1"/>
  <c r="F659" i="6"/>
  <c r="G15" i="4" l="1"/>
  <c r="G17" i="4"/>
  <c r="G45" i="4"/>
  <c r="E45" i="4" s="1"/>
  <c r="G12" i="4"/>
  <c r="G4" i="4"/>
  <c r="G5" i="4"/>
  <c r="F654" i="6" s="1"/>
  <c r="G28" i="4"/>
  <c r="G32" i="4"/>
  <c r="G31" i="4"/>
  <c r="E435" i="6" s="1"/>
  <c r="F435" i="6" s="1"/>
  <c r="G6" i="4"/>
  <c r="F655" i="6" s="1"/>
  <c r="G7" i="4"/>
  <c r="F656" i="6" s="1"/>
  <c r="H78" i="3"/>
  <c r="H80" i="3" s="1"/>
  <c r="D14" i="5" s="1"/>
  <c r="H64" i="3"/>
  <c r="H66" i="3"/>
  <c r="E117" i="10" l="1"/>
  <c r="F117" i="10" s="1"/>
  <c r="E139" i="10"/>
  <c r="F139" i="10" s="1"/>
  <c r="E1066" i="6"/>
  <c r="F1066" i="6" s="1"/>
  <c r="E1088" i="6"/>
  <c r="F1088" i="6" s="1"/>
  <c r="E933" i="6"/>
  <c r="F933" i="6" s="1"/>
  <c r="F937" i="6" s="1"/>
  <c r="E733" i="6"/>
  <c r="F733" i="6" s="1"/>
  <c r="F737" i="6" s="1"/>
  <c r="E1667" i="6"/>
  <c r="F1667" i="6" s="1"/>
  <c r="F1671" i="6" s="1"/>
  <c r="F1679" i="6" s="1"/>
  <c r="F1680" i="6" s="1"/>
  <c r="F1681" i="6" s="1"/>
  <c r="E1646" i="6"/>
  <c r="F1646" i="6" s="1"/>
  <c r="F1650" i="6" s="1"/>
  <c r="F1658" i="6" s="1"/>
  <c r="F1659" i="6" s="1"/>
  <c r="F1660" i="6" s="1"/>
  <c r="H36" i="3" s="1"/>
  <c r="E792" i="6"/>
  <c r="F792" i="6" s="1"/>
  <c r="F796" i="6" s="1"/>
  <c r="F803" i="6" s="1"/>
  <c r="F804" i="6" s="1"/>
  <c r="F805" i="6" s="1"/>
  <c r="G26" i="3" s="1"/>
  <c r="E773" i="6"/>
  <c r="F773" i="6" s="1"/>
  <c r="F777" i="6" s="1"/>
  <c r="F784" i="6" s="1"/>
  <c r="F785" i="6" s="1"/>
  <c r="F786" i="6" s="1"/>
  <c r="E1626" i="6"/>
  <c r="F1626" i="6" s="1"/>
  <c r="F1630" i="6" s="1"/>
  <c r="F1638" i="6" s="1"/>
  <c r="F1639" i="6" s="1"/>
  <c r="F1640" i="6" s="1"/>
  <c r="E1607" i="6"/>
  <c r="F1607" i="6" s="1"/>
  <c r="F1611" i="6" s="1"/>
  <c r="F1617" i="6" s="1"/>
  <c r="F1618" i="6" s="1"/>
  <c r="F1619" i="6" s="1"/>
  <c r="F327" i="6"/>
  <c r="F331" i="6" s="1"/>
  <c r="F340" i="6" s="1"/>
  <c r="F341" i="6" s="1"/>
  <c r="F342" i="6" s="1"/>
  <c r="E1587" i="6"/>
  <c r="F1587" i="6" s="1"/>
  <c r="F1591" i="6" s="1"/>
  <c r="E1687" i="6"/>
  <c r="F1687" i="6" s="1"/>
  <c r="F1691" i="6" s="1"/>
  <c r="E1530" i="6"/>
  <c r="F1530" i="6" s="1"/>
  <c r="F1534" i="6" s="1"/>
  <c r="F1541" i="6" s="1"/>
  <c r="F1542" i="6" s="1"/>
  <c r="F1543" i="6" s="1"/>
  <c r="E1079" i="6"/>
  <c r="F1079" i="6" s="1"/>
  <c r="F1083" i="6" s="1"/>
  <c r="E1057" i="6"/>
  <c r="F1057" i="6" s="1"/>
  <c r="F1061" i="6" s="1"/>
  <c r="E408" i="6"/>
  <c r="E429" i="6"/>
  <c r="F429" i="6" s="1"/>
  <c r="F433" i="6" s="1"/>
  <c r="E179" i="6"/>
  <c r="F179" i="6" s="1"/>
  <c r="F183" i="6" s="1"/>
  <c r="E674" i="6"/>
  <c r="F674" i="6" s="1"/>
  <c r="F678" i="6" s="1"/>
  <c r="E694" i="6"/>
  <c r="F694" i="6" s="1"/>
  <c r="F698" i="6" s="1"/>
  <c r="E160" i="6"/>
  <c r="F160" i="6" s="1"/>
  <c r="F162" i="6" s="1"/>
  <c r="F169" i="6" s="1"/>
  <c r="F170" i="6" s="1"/>
  <c r="F171" i="6" s="1"/>
  <c r="E653" i="6"/>
  <c r="F653" i="6" s="1"/>
  <c r="F657" i="6" s="1"/>
  <c r="E143" i="6"/>
  <c r="F143" i="6" s="1"/>
  <c r="F145" i="6" s="1"/>
  <c r="F152" i="6" s="1"/>
  <c r="F153" i="6" s="1"/>
  <c r="F154" i="6" s="1"/>
  <c r="B64" i="3"/>
  <c r="B65" i="3" s="1"/>
  <c r="B66" i="3" s="1"/>
  <c r="E23" i="3"/>
  <c r="F739" i="6"/>
  <c r="I61" i="4"/>
  <c r="H42" i="3" l="1"/>
  <c r="E22" i="3"/>
  <c r="G21" i="3"/>
  <c r="H21" i="3" s="1"/>
  <c r="H11" i="3" l="1"/>
  <c r="J29" i="9"/>
  <c r="I29" i="9"/>
  <c r="H29" i="9"/>
  <c r="G29" i="9"/>
  <c r="F29" i="9"/>
  <c r="J28" i="9"/>
  <c r="J30" i="9" s="1"/>
  <c r="I28" i="9"/>
  <c r="I30" i="9" s="1"/>
  <c r="H28" i="9"/>
  <c r="J15" i="9"/>
  <c r="I15" i="9"/>
  <c r="H15" i="9"/>
  <c r="G15" i="9"/>
  <c r="F15" i="9"/>
  <c r="J14" i="9"/>
  <c r="J16" i="9" s="1"/>
  <c r="I14" i="9"/>
  <c r="I16" i="9" s="1"/>
  <c r="H14" i="9"/>
  <c r="F14" i="9"/>
  <c r="B5" i="9"/>
  <c r="B6" i="9" s="1"/>
  <c r="B7" i="9" s="1"/>
  <c r="B8" i="9" s="1"/>
  <c r="F16" i="9" l="1"/>
  <c r="H30" i="9"/>
  <c r="H16" i="9"/>
  <c r="G14" i="9"/>
  <c r="G16" i="9" s="1"/>
  <c r="F17" i="9" s="1"/>
  <c r="E572" i="6" l="1"/>
  <c r="F572" i="6" s="1"/>
  <c r="F554" i="6"/>
  <c r="E574" i="6"/>
  <c r="F574" i="6" s="1"/>
  <c r="E573" i="6"/>
  <c r="F573" i="6" s="1"/>
  <c r="E571" i="6"/>
  <c r="F571" i="6" s="1"/>
  <c r="E569" i="6"/>
  <c r="F569" i="6" s="1"/>
  <c r="E566" i="6"/>
  <c r="F566" i="6" s="1"/>
  <c r="E565" i="6"/>
  <c r="F565" i="6" s="1"/>
  <c r="E564" i="6"/>
  <c r="F564" i="6" s="1"/>
  <c r="E563" i="6"/>
  <c r="F563" i="6" s="1"/>
  <c r="F578" i="6"/>
  <c r="D22" i="9"/>
  <c r="E9" i="6"/>
  <c r="F9" i="6" s="1"/>
  <c r="E8" i="6"/>
  <c r="F8" i="6" s="1"/>
  <c r="F15" i="6"/>
  <c r="F16" i="6" s="1"/>
  <c r="F12" i="6"/>
  <c r="F13" i="6" s="1"/>
  <c r="E23" i="9" l="1"/>
  <c r="F23" i="9" s="1"/>
  <c r="F28" i="9" s="1"/>
  <c r="F30" i="9" s="1"/>
  <c r="G22" i="9"/>
  <c r="G28" i="9" s="1"/>
  <c r="G30" i="9" s="1"/>
  <c r="F567" i="6"/>
  <c r="F10" i="6"/>
  <c r="F17" i="6" s="1"/>
  <c r="F31" i="9" l="1"/>
  <c r="F18" i="6"/>
  <c r="F19" i="6" s="1"/>
  <c r="I1150" i="6"/>
  <c r="I1151" i="6" s="1"/>
  <c r="E75" i="4"/>
  <c r="G74" i="4"/>
  <c r="H75" i="4" s="1"/>
  <c r="I880" i="6"/>
  <c r="I882" i="6" s="1"/>
  <c r="E878" i="6"/>
  <c r="F878" i="6" s="1"/>
  <c r="E880" i="6"/>
  <c r="F880" i="6" s="1"/>
  <c r="E875" i="6"/>
  <c r="F875" i="6" s="1"/>
  <c r="E874" i="6"/>
  <c r="F874" i="6" s="1"/>
  <c r="E873" i="6"/>
  <c r="F873" i="6" s="1"/>
  <c r="E872" i="6"/>
  <c r="F872" i="6" s="1"/>
  <c r="F884" i="6"/>
  <c r="F876" i="6" l="1"/>
  <c r="B9" i="5" l="1"/>
  <c r="A9" i="5"/>
  <c r="E313" i="6"/>
  <c r="F313" i="6" s="1"/>
  <c r="F315" i="6" s="1"/>
  <c r="E310" i="6"/>
  <c r="F310" i="6" s="1"/>
  <c r="E309" i="6"/>
  <c r="F309" i="6" s="1"/>
  <c r="E308" i="6"/>
  <c r="F308" i="6" s="1"/>
  <c r="E307" i="6"/>
  <c r="F307" i="6" s="1"/>
  <c r="F318" i="6"/>
  <c r="F311" i="6" l="1"/>
  <c r="F319" i="6" s="1"/>
  <c r="F320" i="6" s="1"/>
  <c r="F321" i="6" s="1"/>
  <c r="E1273" i="6" l="1"/>
  <c r="F1273" i="6" s="1"/>
  <c r="E1272" i="6"/>
  <c r="F1272" i="6" s="1"/>
  <c r="E1269" i="6"/>
  <c r="F1269" i="6" s="1"/>
  <c r="E1268" i="6"/>
  <c r="F1268" i="6" s="1"/>
  <c r="E1267" i="6"/>
  <c r="F1267" i="6" s="1"/>
  <c r="E1266" i="6"/>
  <c r="F1266" i="6" s="1"/>
  <c r="F1277" i="6"/>
  <c r="F1274" i="6" l="1"/>
  <c r="F1270" i="6"/>
  <c r="F1278" i="6" l="1"/>
  <c r="F1279" i="6" s="1"/>
  <c r="F1280" i="6" s="1"/>
  <c r="G23" i="3" s="1"/>
  <c r="E838" i="6" l="1"/>
  <c r="F838" i="6" s="1"/>
  <c r="E837" i="6"/>
  <c r="F837" i="6" s="1"/>
  <c r="E834" i="6"/>
  <c r="F834" i="6" s="1"/>
  <c r="E833" i="6"/>
  <c r="F833" i="6" s="1"/>
  <c r="E832" i="6"/>
  <c r="F832" i="6" s="1"/>
  <c r="E831" i="6"/>
  <c r="F831" i="6" s="1"/>
  <c r="F842" i="6"/>
  <c r="F839" i="6" l="1"/>
  <c r="F835" i="6"/>
  <c r="F843" i="6" l="1"/>
  <c r="F844" i="6" s="1"/>
  <c r="F845" i="6" s="1"/>
  <c r="E818" i="6" l="1"/>
  <c r="F818" i="6" s="1"/>
  <c r="E817" i="6"/>
  <c r="F817" i="6" s="1"/>
  <c r="E814" i="6"/>
  <c r="F814" i="6" s="1"/>
  <c r="E813" i="6"/>
  <c r="F813" i="6" s="1"/>
  <c r="E812" i="6"/>
  <c r="F812" i="6" s="1"/>
  <c r="E811" i="6"/>
  <c r="F811" i="6" s="1"/>
  <c r="F822" i="6"/>
  <c r="F819" i="6" l="1"/>
  <c r="F815" i="6"/>
  <c r="F823" i="6" l="1"/>
  <c r="F824" i="6" s="1"/>
  <c r="F825" i="6" s="1"/>
  <c r="H26" i="3" l="1"/>
  <c r="E1320" i="6" l="1"/>
  <c r="F1320" i="6" s="1"/>
  <c r="E1319" i="6"/>
  <c r="F1319" i="6" s="1"/>
  <c r="E1318" i="6"/>
  <c r="F1318" i="6" s="1"/>
  <c r="E1317" i="6"/>
  <c r="F1317" i="6" s="1"/>
  <c r="E1316" i="6"/>
  <c r="F1316" i="6" s="1"/>
  <c r="E1313" i="6"/>
  <c r="F1313" i="6" s="1"/>
  <c r="E1312" i="6"/>
  <c r="F1312" i="6" s="1"/>
  <c r="E1311" i="6"/>
  <c r="F1311" i="6" s="1"/>
  <c r="E1310" i="6"/>
  <c r="F1310" i="6" s="1"/>
  <c r="F1324" i="6"/>
  <c r="F1321" i="6" l="1"/>
  <c r="F1314" i="6"/>
  <c r="E1419" i="6"/>
  <c r="F1419" i="6" s="1"/>
  <c r="E1418" i="6"/>
  <c r="F1418" i="6" s="1"/>
  <c r="E1415" i="6"/>
  <c r="F1415" i="6" s="1"/>
  <c r="E1414" i="6"/>
  <c r="F1414" i="6" s="1"/>
  <c r="E1413" i="6"/>
  <c r="F1413" i="6" s="1"/>
  <c r="E1412" i="6"/>
  <c r="F1412" i="6" s="1"/>
  <c r="F1423" i="6"/>
  <c r="F1325" i="6" l="1"/>
  <c r="F1326" i="6" s="1"/>
  <c r="F1327" i="6" s="1"/>
  <c r="F1420" i="6"/>
  <c r="F1416" i="6"/>
  <c r="E1377" i="6"/>
  <c r="F1377" i="6" s="1"/>
  <c r="F1379" i="6" s="1"/>
  <c r="E1374" i="6"/>
  <c r="F1374" i="6" s="1"/>
  <c r="E1373" i="6"/>
  <c r="F1373" i="6" s="1"/>
  <c r="F1382" i="6"/>
  <c r="F1424" i="6" l="1"/>
  <c r="F1425" i="6" s="1"/>
  <c r="F1426" i="6" s="1"/>
  <c r="G44" i="3" s="1"/>
  <c r="F1375" i="6"/>
  <c r="F1383" i="6" s="1"/>
  <c r="F1384" i="6" s="1"/>
  <c r="F1385" i="6" s="1"/>
  <c r="E1574" i="6" l="1"/>
  <c r="E1571" i="6"/>
  <c r="F1571" i="6" s="1"/>
  <c r="E1570" i="6"/>
  <c r="F1570" i="6" s="1"/>
  <c r="E1569" i="6"/>
  <c r="F1569" i="6" s="1"/>
  <c r="E1550" i="6"/>
  <c r="E1568" i="6"/>
  <c r="F1568" i="6" s="1"/>
  <c r="E1298" i="6"/>
  <c r="F1298" i="6" s="1"/>
  <c r="E1297" i="6"/>
  <c r="F1297" i="6" s="1"/>
  <c r="E1296" i="6"/>
  <c r="F1296" i="6" s="1"/>
  <c r="E1295" i="6"/>
  <c r="F1295" i="6" s="1"/>
  <c r="E1294" i="6"/>
  <c r="F1294" i="6" s="1"/>
  <c r="E1293" i="6"/>
  <c r="F1293" i="6" s="1"/>
  <c r="E1292" i="6"/>
  <c r="F1292" i="6" s="1"/>
  <c r="E1289" i="6"/>
  <c r="F1289" i="6" s="1"/>
  <c r="E1288" i="6"/>
  <c r="F1288" i="6" s="1"/>
  <c r="E1287" i="6"/>
  <c r="F1287" i="6" s="1"/>
  <c r="E1286" i="6"/>
  <c r="F1286" i="6" s="1"/>
  <c r="E1193" i="6"/>
  <c r="F1193" i="6" s="1"/>
  <c r="F1195" i="6" s="1"/>
  <c r="E1212" i="6"/>
  <c r="F1212" i="6" s="1"/>
  <c r="F1214" i="6" s="1"/>
  <c r="E1209" i="6"/>
  <c r="F1209" i="6" s="1"/>
  <c r="E1208" i="6"/>
  <c r="F1208" i="6" s="1"/>
  <c r="E1207" i="6"/>
  <c r="F1207" i="6" s="1"/>
  <c r="E1206" i="6"/>
  <c r="F1206" i="6" s="1"/>
  <c r="E1190" i="6"/>
  <c r="F1190" i="6" s="1"/>
  <c r="E1189" i="6"/>
  <c r="F1189" i="6" s="1"/>
  <c r="E1188" i="6"/>
  <c r="F1188" i="6" s="1"/>
  <c r="E1187" i="6"/>
  <c r="F1187" i="6" s="1"/>
  <c r="E1231" i="6"/>
  <c r="F1231" i="6" s="1"/>
  <c r="F1233" i="6" s="1"/>
  <c r="E1228" i="6"/>
  <c r="F1228" i="6" s="1"/>
  <c r="E1227" i="6"/>
  <c r="F1227" i="6" s="1"/>
  <c r="E1226" i="6"/>
  <c r="F1226" i="6" s="1"/>
  <c r="E1225" i="6"/>
  <c r="F1225" i="6" s="1"/>
  <c r="F1236" i="6"/>
  <c r="E1128" i="6"/>
  <c r="F1128" i="6" s="1"/>
  <c r="E1127" i="6"/>
  <c r="F1127" i="6" s="1"/>
  <c r="E1124" i="6"/>
  <c r="F1124" i="6" s="1"/>
  <c r="E1122" i="6"/>
  <c r="F1122" i="6" s="1"/>
  <c r="E1121" i="6"/>
  <c r="F1121" i="6" s="1"/>
  <c r="F1132" i="6"/>
  <c r="F1572" i="6" l="1"/>
  <c r="F1574" i="6"/>
  <c r="F1299" i="6"/>
  <c r="F1290" i="6"/>
  <c r="F1210" i="6"/>
  <c r="F1217" i="6" s="1"/>
  <c r="F1191" i="6"/>
  <c r="F1198" i="6" s="1"/>
  <c r="F1229" i="6"/>
  <c r="F1237" i="6" s="1"/>
  <c r="F1129" i="6"/>
  <c r="E1575" i="6" l="1"/>
  <c r="F1575" i="6" s="1"/>
  <c r="F1576" i="6" s="1"/>
  <c r="F1579" i="6" s="1"/>
  <c r="F1302" i="6"/>
  <c r="F1304" i="6" s="1"/>
  <c r="F1218" i="6"/>
  <c r="F1219" i="6" s="1"/>
  <c r="F1199" i="6"/>
  <c r="F1200" i="6" s="1"/>
  <c r="F1238" i="6"/>
  <c r="F1239" i="6" s="1"/>
  <c r="G24" i="3" l="1"/>
  <c r="H24" i="3" s="1"/>
  <c r="G59" i="3"/>
  <c r="H59" i="3" s="1"/>
  <c r="H41" i="3"/>
  <c r="F1580" i="6"/>
  <c r="F1581" i="6" s="1"/>
  <c r="E110" i="6" l="1"/>
  <c r="F110" i="6" s="1"/>
  <c r="E109" i="6"/>
  <c r="F109" i="6" s="1"/>
  <c r="F117" i="6"/>
  <c r="F114" i="6"/>
  <c r="E93" i="6"/>
  <c r="F93" i="6" s="1"/>
  <c r="F94" i="6" s="1"/>
  <c r="F100" i="6"/>
  <c r="F97" i="6"/>
  <c r="E77" i="6"/>
  <c r="F77" i="6" s="1"/>
  <c r="E76" i="6"/>
  <c r="F76" i="6" s="1"/>
  <c r="F84" i="6"/>
  <c r="F81" i="6"/>
  <c r="F101" i="6" l="1"/>
  <c r="F102" i="6" s="1"/>
  <c r="F103" i="6" s="1"/>
  <c r="F111" i="6"/>
  <c r="F118" i="6" s="1"/>
  <c r="F119" i="6" s="1"/>
  <c r="F78" i="6"/>
  <c r="F85" i="6" s="1"/>
  <c r="F86" i="6" s="1"/>
  <c r="F120" i="6" l="1"/>
  <c r="F87" i="6"/>
  <c r="G52" i="3" s="1"/>
  <c r="G49" i="3" l="1"/>
  <c r="H49" i="3" s="1"/>
  <c r="E1174" i="6"/>
  <c r="E1173" i="6"/>
  <c r="F1173" i="6" s="1"/>
  <c r="E1172" i="6"/>
  <c r="F1172" i="6" s="1"/>
  <c r="E1170" i="6"/>
  <c r="F1170" i="6" s="1"/>
  <c r="E1167" i="6"/>
  <c r="F1167" i="6" s="1"/>
  <c r="E1166" i="6"/>
  <c r="F1166" i="6" s="1"/>
  <c r="E1165" i="6"/>
  <c r="F1165" i="6" s="1"/>
  <c r="E1164" i="6"/>
  <c r="F1164" i="6" s="1"/>
  <c r="F1178" i="6"/>
  <c r="E1151" i="6"/>
  <c r="E1150" i="6"/>
  <c r="F1150" i="6" s="1"/>
  <c r="E1149" i="6"/>
  <c r="F1149" i="6" s="1"/>
  <c r="E570" i="6"/>
  <c r="F570" i="6" s="1"/>
  <c r="F575" i="6" s="1"/>
  <c r="F579" i="6" s="1"/>
  <c r="F580" i="6" s="1"/>
  <c r="F581" i="6" s="1"/>
  <c r="E1147" i="6"/>
  <c r="F1147" i="6" s="1"/>
  <c r="E1144" i="6"/>
  <c r="F1144" i="6" s="1"/>
  <c r="E1143" i="6"/>
  <c r="F1143" i="6" s="1"/>
  <c r="E1142" i="6"/>
  <c r="F1142" i="6" s="1"/>
  <c r="E1141" i="6"/>
  <c r="F1141" i="6" s="1"/>
  <c r="F1155" i="6"/>
  <c r="E1148" i="6" l="1"/>
  <c r="F1148" i="6" s="1"/>
  <c r="E879" i="6"/>
  <c r="F879" i="6" s="1"/>
  <c r="F881" i="6" s="1"/>
  <c r="F885" i="6" s="1"/>
  <c r="F886" i="6" s="1"/>
  <c r="F887" i="6" s="1"/>
  <c r="E1171" i="6"/>
  <c r="F1171" i="6" s="1"/>
  <c r="F1174" i="6"/>
  <c r="F1168" i="6"/>
  <c r="F1151" i="6"/>
  <c r="F1145" i="6"/>
  <c r="F1152" i="6" l="1"/>
  <c r="F1156" i="6" s="1"/>
  <c r="F1157" i="6" s="1"/>
  <c r="F1158" i="6" s="1"/>
  <c r="F1175" i="6"/>
  <c r="F1179" i="6" s="1"/>
  <c r="F1180" i="6" s="1"/>
  <c r="F1181" i="6" s="1"/>
  <c r="I1036" i="6" l="1"/>
  <c r="I1037" i="6" s="1"/>
  <c r="E1043" i="6"/>
  <c r="F1043" i="6" s="1"/>
  <c r="E1038" i="6"/>
  <c r="E1037" i="6"/>
  <c r="F1037" i="6" s="1"/>
  <c r="E1036" i="6"/>
  <c r="F1036" i="6" s="1"/>
  <c r="E1035" i="6"/>
  <c r="F1035" i="6" s="1"/>
  <c r="F1048" i="6"/>
  <c r="B13" i="5"/>
  <c r="A13" i="5"/>
  <c r="D640" i="6"/>
  <c r="D639" i="6"/>
  <c r="D638" i="6"/>
  <c r="D637" i="6"/>
  <c r="E634" i="6"/>
  <c r="F634" i="6" s="1"/>
  <c r="E633" i="6"/>
  <c r="F633" i="6" s="1"/>
  <c r="E632" i="6"/>
  <c r="F632" i="6" s="1"/>
  <c r="E631" i="6"/>
  <c r="F631" i="6" s="1"/>
  <c r="F644" i="6"/>
  <c r="B40" i="3" l="1"/>
  <c r="B41" i="3" s="1"/>
  <c r="F1038" i="6"/>
  <c r="F1039" i="6" s="1"/>
  <c r="E1123" i="6"/>
  <c r="F1123" i="6" s="1"/>
  <c r="F1125" i="6" s="1"/>
  <c r="F1133" i="6" s="1"/>
  <c r="F1134" i="6" s="1"/>
  <c r="F1135" i="6" s="1"/>
  <c r="F635" i="6"/>
  <c r="B42" i="3" l="1"/>
  <c r="E135" i="4"/>
  <c r="E120" i="4"/>
  <c r="E85" i="4"/>
  <c r="E81" i="4"/>
  <c r="E80" i="4"/>
  <c r="E638" i="6" s="1"/>
  <c r="F638" i="6" s="1"/>
  <c r="E78" i="4"/>
  <c r="E640" i="6" s="1"/>
  <c r="F640" i="6" s="1"/>
  <c r="E76" i="4"/>
  <c r="E637" i="6"/>
  <c r="F637" i="6" s="1"/>
  <c r="E639" i="6" l="1"/>
  <c r="F639" i="6" s="1"/>
  <c r="F641" i="6" s="1"/>
  <c r="F645" i="6" s="1"/>
  <c r="F646" i="6" s="1"/>
  <c r="F647" i="6" s="1"/>
  <c r="E660" i="6"/>
  <c r="F660" i="6" s="1"/>
  <c r="F662" i="6" s="1"/>
  <c r="B43" i="3"/>
  <c r="B44" i="3" s="1"/>
  <c r="B45" i="3" s="1"/>
  <c r="E1734" i="6"/>
  <c r="F1734" i="6" s="1"/>
  <c r="E1733" i="6"/>
  <c r="F1733" i="6" s="1"/>
  <c r="E1732" i="6"/>
  <c r="F1732" i="6" s="1"/>
  <c r="E1731" i="6"/>
  <c r="F1731" i="6" s="1"/>
  <c r="E1730" i="6"/>
  <c r="F1730" i="6" s="1"/>
  <c r="E1729" i="6"/>
  <c r="F1729" i="6" s="1"/>
  <c r="E1728" i="6"/>
  <c r="F1728" i="6" s="1"/>
  <c r="E1727" i="6"/>
  <c r="F1727" i="6" s="1"/>
  <c r="E1724" i="6"/>
  <c r="F1724" i="6" s="1"/>
  <c r="F1725" i="6" s="1"/>
  <c r="F1738" i="6"/>
  <c r="F665" i="6" l="1"/>
  <c r="F666" i="6" s="1"/>
  <c r="F667" i="6" s="1"/>
  <c r="F668" i="6" s="1"/>
  <c r="F1735" i="6"/>
  <c r="F1739" i="6" l="1"/>
  <c r="F1740" i="6" s="1"/>
  <c r="F1741" i="6" s="1"/>
  <c r="H63" i="3" l="1"/>
  <c r="H69" i="3" s="1"/>
  <c r="D12" i="5" s="1"/>
  <c r="E1019" i="6"/>
  <c r="F1019" i="6" s="1"/>
  <c r="E1021" i="6"/>
  <c r="F1021" i="6" s="1"/>
  <c r="E1016" i="6"/>
  <c r="F1016" i="6" s="1"/>
  <c r="E1015" i="6"/>
  <c r="F1015" i="6" s="1"/>
  <c r="E1014" i="6"/>
  <c r="F1014" i="6" s="1"/>
  <c r="E1013" i="6"/>
  <c r="F1013" i="6" s="1"/>
  <c r="F1026" i="6"/>
  <c r="E1555" i="6"/>
  <c r="E1556" i="6" s="1"/>
  <c r="F1556" i="6" s="1"/>
  <c r="E1552" i="6"/>
  <c r="F1552" i="6" s="1"/>
  <c r="E1551" i="6"/>
  <c r="F1551" i="6" s="1"/>
  <c r="E1549" i="6"/>
  <c r="F1549" i="6" s="1"/>
  <c r="E919" i="6"/>
  <c r="E899" i="6"/>
  <c r="K74" i="4"/>
  <c r="E79" i="4"/>
  <c r="E719" i="6"/>
  <c r="E617" i="6"/>
  <c r="F617" i="6" s="1"/>
  <c r="E616" i="6"/>
  <c r="F616" i="6" s="1"/>
  <c r="E618" i="6"/>
  <c r="F618" i="6" s="1"/>
  <c r="E615" i="6"/>
  <c r="E959" i="6" l="1"/>
  <c r="F959" i="6" s="1"/>
  <c r="F960" i="6" s="1"/>
  <c r="F964" i="6" s="1"/>
  <c r="F965" i="6" s="1"/>
  <c r="F966" i="6" s="1"/>
  <c r="G22" i="3" s="1"/>
  <c r="H22" i="3" s="1"/>
  <c r="E1108" i="6"/>
  <c r="F1108" i="6" s="1"/>
  <c r="F1109" i="6" s="1"/>
  <c r="F1113" i="6" s="1"/>
  <c r="F1114" i="6" s="1"/>
  <c r="F1115" i="6" s="1"/>
  <c r="G58" i="3" s="1"/>
  <c r="H58" i="3" s="1"/>
  <c r="E760" i="6"/>
  <c r="F760" i="6" s="1"/>
  <c r="F761" i="6" s="1"/>
  <c r="F765" i="6" s="1"/>
  <c r="F766" i="6" s="1"/>
  <c r="F767" i="6" s="1"/>
  <c r="G57" i="3" s="1"/>
  <c r="H57" i="3" s="1"/>
  <c r="E900" i="6"/>
  <c r="E940" i="6"/>
  <c r="F940" i="6" s="1"/>
  <c r="F941" i="6" s="1"/>
  <c r="F945" i="6" s="1"/>
  <c r="F946" i="6" s="1"/>
  <c r="F947" i="6" s="1"/>
  <c r="E740" i="6"/>
  <c r="F740" i="6" s="1"/>
  <c r="F741" i="6" s="1"/>
  <c r="F745" i="6" s="1"/>
  <c r="F746" i="6" s="1"/>
  <c r="F747" i="6" s="1"/>
  <c r="F1017" i="6"/>
  <c r="E920" i="6"/>
  <c r="F1555" i="6"/>
  <c r="F1557" i="6" s="1"/>
  <c r="E720" i="6"/>
  <c r="G56" i="3" l="1"/>
  <c r="G51" i="3"/>
  <c r="E1398" i="6" l="1"/>
  <c r="F1398" i="6" s="1"/>
  <c r="E1397" i="6"/>
  <c r="F1397" i="6" s="1"/>
  <c r="E1392" i="6"/>
  <c r="F1392" i="6" s="1"/>
  <c r="E1393" i="6"/>
  <c r="F1393" i="6" s="1"/>
  <c r="E1394" i="6"/>
  <c r="E1391" i="6"/>
  <c r="F1391" i="6" s="1"/>
  <c r="F1402" i="6"/>
  <c r="F1394" i="6" l="1"/>
  <c r="F1395" i="6" s="1"/>
  <c r="F1550" i="6"/>
  <c r="F1553" i="6" s="1"/>
  <c r="F1560" i="6" s="1"/>
  <c r="F1399" i="6"/>
  <c r="E86" i="4"/>
  <c r="E978" i="6" s="1"/>
  <c r="F1561" i="6" l="1"/>
  <c r="F1562" i="6" s="1"/>
  <c r="F1403" i="6"/>
  <c r="F1404" i="6" s="1"/>
  <c r="F1405" i="6" s="1"/>
  <c r="F1406" i="6" s="1"/>
  <c r="B11" i="4"/>
  <c r="B12" i="4" s="1"/>
  <c r="E44" i="4"/>
  <c r="E84" i="4"/>
  <c r="E16" i="4"/>
  <c r="E138" i="10" l="1"/>
  <c r="F138" i="10" s="1"/>
  <c r="E116" i="10"/>
  <c r="F116" i="10" s="1"/>
  <c r="G43" i="3"/>
  <c r="H43" i="3" s="1"/>
  <c r="B14" i="4"/>
  <c r="B15" i="4" s="1"/>
  <c r="B17" i="4" s="1"/>
  <c r="B19" i="4" s="1"/>
  <c r="B20" i="4" s="1"/>
  <c r="B21" i="4" s="1"/>
  <c r="B22" i="4" s="1"/>
  <c r="E1041" i="6"/>
  <c r="F1041" i="6" s="1"/>
  <c r="E1044" i="6"/>
  <c r="F1044" i="6" s="1"/>
  <c r="E1022" i="6"/>
  <c r="F1022" i="6" s="1"/>
  <c r="H10" i="3"/>
  <c r="E1359" i="6"/>
  <c r="F1359" i="6" s="1"/>
  <c r="E1360" i="6"/>
  <c r="F1360" i="6" s="1"/>
  <c r="E1354" i="6"/>
  <c r="F1354" i="6" s="1"/>
  <c r="E1355" i="6"/>
  <c r="F1355" i="6" s="1"/>
  <c r="E1356" i="6"/>
  <c r="F1356" i="6" s="1"/>
  <c r="E1353" i="6"/>
  <c r="F1353" i="6" s="1"/>
  <c r="F1364" i="6"/>
  <c r="E1340" i="6"/>
  <c r="F1340" i="6" s="1"/>
  <c r="E1339" i="6"/>
  <c r="F1339" i="6" s="1"/>
  <c r="E1334" i="6"/>
  <c r="F1334" i="6" s="1"/>
  <c r="E1335" i="6"/>
  <c r="F1335" i="6" s="1"/>
  <c r="E1336" i="6"/>
  <c r="F1336" i="6" s="1"/>
  <c r="E1333" i="6"/>
  <c r="F1333" i="6" s="1"/>
  <c r="F1344" i="6"/>
  <c r="E1253" i="6"/>
  <c r="F1253" i="6" s="1"/>
  <c r="E1252" i="6"/>
  <c r="F1252" i="6" s="1"/>
  <c r="E1251" i="6"/>
  <c r="F1251" i="6" s="1"/>
  <c r="E1246" i="6"/>
  <c r="F1246" i="6" s="1"/>
  <c r="E1247" i="6"/>
  <c r="F1247" i="6" s="1"/>
  <c r="E1248" i="6"/>
  <c r="F1248" i="6" s="1"/>
  <c r="E1245" i="6"/>
  <c r="F1245" i="6" s="1"/>
  <c r="F1257" i="6"/>
  <c r="E1000" i="6"/>
  <c r="F1000" i="6" s="1"/>
  <c r="E999" i="6"/>
  <c r="F999" i="6" s="1"/>
  <c r="E997" i="6"/>
  <c r="F997" i="6" s="1"/>
  <c r="E992" i="6"/>
  <c r="F992" i="6" s="1"/>
  <c r="E993" i="6"/>
  <c r="F993" i="6" s="1"/>
  <c r="E994" i="6"/>
  <c r="F994" i="6" s="1"/>
  <c r="E991" i="6"/>
  <c r="F991" i="6" s="1"/>
  <c r="F1004" i="6"/>
  <c r="F978" i="6"/>
  <c r="F979" i="6" s="1"/>
  <c r="E973" i="6"/>
  <c r="F973" i="6" s="1"/>
  <c r="E974" i="6"/>
  <c r="F974" i="6" s="1"/>
  <c r="E975" i="6"/>
  <c r="F975" i="6" s="1"/>
  <c r="E972" i="6"/>
  <c r="F972" i="6" s="1"/>
  <c r="F982" i="6"/>
  <c r="F919" i="6"/>
  <c r="F920" i="6"/>
  <c r="E914" i="6"/>
  <c r="F914" i="6" s="1"/>
  <c r="E915" i="6"/>
  <c r="F915" i="6" s="1"/>
  <c r="E916" i="6"/>
  <c r="F916" i="6" s="1"/>
  <c r="E913" i="6"/>
  <c r="F913" i="6" s="1"/>
  <c r="F924" i="6"/>
  <c r="F900" i="6"/>
  <c r="F899" i="6"/>
  <c r="E894" i="6"/>
  <c r="F894" i="6" s="1"/>
  <c r="E895" i="6"/>
  <c r="F895" i="6" s="1"/>
  <c r="E896" i="6"/>
  <c r="F896" i="6" s="1"/>
  <c r="E893" i="6"/>
  <c r="F893" i="6" s="1"/>
  <c r="F904" i="6"/>
  <c r="E859" i="6"/>
  <c r="F859" i="6" s="1"/>
  <c r="E858" i="6"/>
  <c r="F858" i="6" s="1"/>
  <c r="E857" i="6"/>
  <c r="F857" i="6" s="1"/>
  <c r="E852" i="6"/>
  <c r="F852" i="6" s="1"/>
  <c r="E853" i="6"/>
  <c r="F853" i="6" s="1"/>
  <c r="E854" i="6"/>
  <c r="F854" i="6" s="1"/>
  <c r="E851" i="6"/>
  <c r="F851" i="6" s="1"/>
  <c r="F863" i="6"/>
  <c r="F720" i="6"/>
  <c r="F719" i="6"/>
  <c r="E714" i="6"/>
  <c r="F714" i="6" s="1"/>
  <c r="E715" i="6"/>
  <c r="F715" i="6" s="1"/>
  <c r="E716" i="6"/>
  <c r="F716" i="6" s="1"/>
  <c r="E713" i="6"/>
  <c r="F713" i="6" s="1"/>
  <c r="F724" i="6"/>
  <c r="F615" i="6"/>
  <c r="F619" i="6" s="1"/>
  <c r="E610" i="6"/>
  <c r="F610" i="6" s="1"/>
  <c r="E611" i="6"/>
  <c r="F611" i="6" s="1"/>
  <c r="E612" i="6"/>
  <c r="F612" i="6" s="1"/>
  <c r="E609" i="6"/>
  <c r="F609" i="6" s="1"/>
  <c r="F622" i="6"/>
  <c r="E596" i="6"/>
  <c r="F596" i="6" s="1"/>
  <c r="E595" i="6"/>
  <c r="F595" i="6" s="1"/>
  <c r="E593" i="6"/>
  <c r="F593" i="6" s="1"/>
  <c r="E588" i="6"/>
  <c r="F588" i="6" s="1"/>
  <c r="E589" i="6"/>
  <c r="F589" i="6" s="1"/>
  <c r="E590" i="6"/>
  <c r="F590" i="6" s="1"/>
  <c r="E587" i="6"/>
  <c r="F587" i="6" s="1"/>
  <c r="F600" i="6"/>
  <c r="E525" i="6"/>
  <c r="E500" i="6"/>
  <c r="F500" i="6" s="1"/>
  <c r="E524" i="6"/>
  <c r="E499" i="6"/>
  <c r="F499" i="6" s="1"/>
  <c r="E523" i="6"/>
  <c r="F523" i="6" s="1"/>
  <c r="E498" i="6"/>
  <c r="F498" i="6" s="1"/>
  <c r="E522" i="6"/>
  <c r="E521" i="6"/>
  <c r="E496" i="6"/>
  <c r="F496" i="6" s="1"/>
  <c r="E520" i="6"/>
  <c r="E548" i="6" s="1"/>
  <c r="F548" i="6" s="1"/>
  <c r="E495" i="6"/>
  <c r="F495" i="6" s="1"/>
  <c r="E515" i="6"/>
  <c r="E516" i="6"/>
  <c r="E517" i="6"/>
  <c r="E514" i="6"/>
  <c r="F529" i="6"/>
  <c r="E497" i="6"/>
  <c r="F497" i="6" s="1"/>
  <c r="E490" i="6"/>
  <c r="F490" i="6" s="1"/>
  <c r="E491" i="6"/>
  <c r="F491" i="6" s="1"/>
  <c r="E492" i="6"/>
  <c r="F492" i="6" s="1"/>
  <c r="E489" i="6"/>
  <c r="F489" i="6" s="1"/>
  <c r="F504" i="6"/>
  <c r="E475" i="6"/>
  <c r="F475" i="6" s="1"/>
  <c r="E474" i="6"/>
  <c r="F474" i="6" s="1"/>
  <c r="E473" i="6"/>
  <c r="F473" i="6" s="1"/>
  <c r="E468" i="6"/>
  <c r="F468" i="6" s="1"/>
  <c r="E469" i="6"/>
  <c r="F469" i="6" s="1"/>
  <c r="E470" i="6"/>
  <c r="F470" i="6" s="1"/>
  <c r="E467" i="6"/>
  <c r="F467" i="6" s="1"/>
  <c r="F479" i="6"/>
  <c r="E454" i="6"/>
  <c r="F454" i="6" s="1"/>
  <c r="F455" i="6" s="1"/>
  <c r="E451" i="6"/>
  <c r="F451" i="6" s="1"/>
  <c r="E450" i="6"/>
  <c r="F450" i="6" s="1"/>
  <c r="F458" i="6"/>
  <c r="E416" i="6"/>
  <c r="F416" i="6" s="1"/>
  <c r="E414" i="6"/>
  <c r="F414" i="6" s="1"/>
  <c r="E409" i="6"/>
  <c r="F409" i="6" s="1"/>
  <c r="E410" i="6"/>
  <c r="F410" i="6" s="1"/>
  <c r="E411" i="6"/>
  <c r="F411" i="6" s="1"/>
  <c r="F408" i="6"/>
  <c r="F420" i="6"/>
  <c r="E395" i="6"/>
  <c r="F395" i="6" s="1"/>
  <c r="E392" i="6"/>
  <c r="F392" i="6" s="1"/>
  <c r="E391" i="6"/>
  <c r="F391" i="6" s="1"/>
  <c r="F399" i="6"/>
  <c r="E294" i="6"/>
  <c r="F294" i="6" s="1"/>
  <c r="E292" i="6"/>
  <c r="F292" i="6" s="1"/>
  <c r="E286" i="6"/>
  <c r="F286" i="6" s="1"/>
  <c r="E287" i="6"/>
  <c r="F287" i="6" s="1"/>
  <c r="E288" i="6"/>
  <c r="F288" i="6" s="1"/>
  <c r="E285" i="6"/>
  <c r="F285" i="6" s="1"/>
  <c r="F298" i="6"/>
  <c r="E271" i="6"/>
  <c r="F271" i="6" s="1"/>
  <c r="E270" i="6"/>
  <c r="F270" i="6" s="1"/>
  <c r="E269" i="6"/>
  <c r="F269" i="6" s="1"/>
  <c r="E264" i="6"/>
  <c r="F264" i="6" s="1"/>
  <c r="E265" i="6"/>
  <c r="F265" i="6" s="1"/>
  <c r="E266" i="6"/>
  <c r="F266" i="6" s="1"/>
  <c r="E263" i="6"/>
  <c r="F263" i="6" s="1"/>
  <c r="F275" i="6"/>
  <c r="B23" i="4" l="1"/>
  <c r="B25" i="4" s="1"/>
  <c r="B26" i="4" s="1"/>
  <c r="B27" i="4"/>
  <c r="B28" i="4" s="1"/>
  <c r="B29" i="4" s="1"/>
  <c r="B30" i="4" s="1"/>
  <c r="B31" i="4" s="1"/>
  <c r="B32" i="4" s="1"/>
  <c r="B33" i="4" s="1"/>
  <c r="F515" i="6"/>
  <c r="E540" i="6"/>
  <c r="F540" i="6" s="1"/>
  <c r="F521" i="6"/>
  <c r="E546" i="6"/>
  <c r="F546" i="6" s="1"/>
  <c r="F514" i="6"/>
  <c r="E539" i="6"/>
  <c r="F539" i="6" s="1"/>
  <c r="F522" i="6"/>
  <c r="E547" i="6"/>
  <c r="F547" i="6" s="1"/>
  <c r="F524" i="6"/>
  <c r="E549" i="6"/>
  <c r="F549" i="6" s="1"/>
  <c r="F517" i="6"/>
  <c r="E542" i="6"/>
  <c r="F542" i="6" s="1"/>
  <c r="F516" i="6"/>
  <c r="E541" i="6"/>
  <c r="F541" i="6" s="1"/>
  <c r="F525" i="6"/>
  <c r="E550" i="6"/>
  <c r="F550" i="6" s="1"/>
  <c r="F520" i="6"/>
  <c r="E545" i="6"/>
  <c r="F545" i="6" s="1"/>
  <c r="F1361" i="6"/>
  <c r="F1357" i="6"/>
  <c r="F1341" i="6"/>
  <c r="F1337" i="6"/>
  <c r="F1254" i="6"/>
  <c r="F1249" i="6"/>
  <c r="F995" i="6"/>
  <c r="F921" i="6"/>
  <c r="F976" i="6"/>
  <c r="F983" i="6" s="1"/>
  <c r="F917" i="6"/>
  <c r="F901" i="6"/>
  <c r="F897" i="6"/>
  <c r="F721" i="6"/>
  <c r="F860" i="6"/>
  <c r="F855" i="6"/>
  <c r="F717" i="6"/>
  <c r="F613" i="6"/>
  <c r="F591" i="6"/>
  <c r="F501" i="6"/>
  <c r="F493" i="6"/>
  <c r="F476" i="6"/>
  <c r="F471" i="6"/>
  <c r="F452" i="6"/>
  <c r="F459" i="6" s="1"/>
  <c r="F412" i="6"/>
  <c r="F396" i="6"/>
  <c r="F393" i="6"/>
  <c r="F289" i="6"/>
  <c r="F272" i="6"/>
  <c r="F267" i="6"/>
  <c r="E249" i="6"/>
  <c r="F249" i="6" s="1"/>
  <c r="E248" i="6"/>
  <c r="F248" i="6" s="1"/>
  <c r="E243" i="6"/>
  <c r="F243" i="6" s="1"/>
  <c r="E244" i="6"/>
  <c r="F244" i="6" s="1"/>
  <c r="E245" i="6"/>
  <c r="F245" i="6" s="1"/>
  <c r="E242" i="6"/>
  <c r="F242" i="6" s="1"/>
  <c r="F253" i="6"/>
  <c r="E229" i="6"/>
  <c r="F229" i="6" s="1"/>
  <c r="E227" i="6"/>
  <c r="F227" i="6" s="1"/>
  <c r="E293" i="6"/>
  <c r="F293" i="6" s="1"/>
  <c r="E13" i="4"/>
  <c r="E221" i="6"/>
  <c r="F221" i="6" s="1"/>
  <c r="E222" i="6"/>
  <c r="F222" i="6" s="1"/>
  <c r="E223" i="6"/>
  <c r="F223" i="6" s="1"/>
  <c r="E220" i="6"/>
  <c r="F220" i="6" s="1"/>
  <c r="F233" i="6"/>
  <c r="E207" i="6"/>
  <c r="F207" i="6" s="1"/>
  <c r="E206" i="6"/>
  <c r="F206" i="6" s="1"/>
  <c r="E201" i="6"/>
  <c r="F201" i="6" s="1"/>
  <c r="E202" i="6"/>
  <c r="F202" i="6" s="1"/>
  <c r="E203" i="6"/>
  <c r="F203" i="6" s="1"/>
  <c r="E200" i="6"/>
  <c r="F200" i="6" s="1"/>
  <c r="F211" i="6"/>
  <c r="E60" i="6"/>
  <c r="F60" i="6" s="1"/>
  <c r="E59" i="6"/>
  <c r="F59" i="6" s="1"/>
  <c r="F66" i="6"/>
  <c r="F67" i="6" s="1"/>
  <c r="F63" i="6"/>
  <c r="F64" i="6" s="1"/>
  <c r="E43" i="6"/>
  <c r="F43" i="6" s="1"/>
  <c r="E42" i="6"/>
  <c r="F42" i="6" s="1"/>
  <c r="F49" i="6"/>
  <c r="F50" i="6" s="1"/>
  <c r="F46" i="6"/>
  <c r="F47" i="6" s="1"/>
  <c r="E549" i="10" l="1"/>
  <c r="F549" i="10" s="1"/>
  <c r="F552" i="10" s="1"/>
  <c r="F556" i="10" s="1"/>
  <c r="F557" i="10" s="1"/>
  <c r="F558" i="10" s="1"/>
  <c r="E137" i="10"/>
  <c r="F137" i="10" s="1"/>
  <c r="F141" i="10" s="1"/>
  <c r="F145" i="10" s="1"/>
  <c r="F146" i="10" s="1"/>
  <c r="F147" i="10" s="1"/>
  <c r="E571" i="10"/>
  <c r="F571" i="10" s="1"/>
  <c r="F574" i="10" s="1"/>
  <c r="F578" i="10" s="1"/>
  <c r="F579" i="10" s="1"/>
  <c r="F580" i="10" s="1"/>
  <c r="E244" i="10"/>
  <c r="F244" i="10" s="1"/>
  <c r="F246" i="10" s="1"/>
  <c r="F250" i="10" s="1"/>
  <c r="F251" i="10" s="1"/>
  <c r="F252" i="10" s="1"/>
  <c r="E115" i="10"/>
  <c r="F115" i="10" s="1"/>
  <c r="F119" i="10" s="1"/>
  <c r="F123" i="10" s="1"/>
  <c r="F124" i="10" s="1"/>
  <c r="F125" i="10" s="1"/>
  <c r="E527" i="10"/>
  <c r="F527" i="10" s="1"/>
  <c r="F530" i="10" s="1"/>
  <c r="F534" i="10" s="1"/>
  <c r="F535" i="10" s="1"/>
  <c r="F536" i="10" s="1"/>
  <c r="E593" i="10"/>
  <c r="F593" i="10" s="1"/>
  <c r="F596" i="10" s="1"/>
  <c r="F600" i="10" s="1"/>
  <c r="F601" i="10" s="1"/>
  <c r="F602" i="10" s="1"/>
  <c r="E370" i="10"/>
  <c r="F370" i="10" s="1"/>
  <c r="F371" i="10" s="1"/>
  <c r="F375" i="10" s="1"/>
  <c r="F376" i="10" s="1"/>
  <c r="F377" i="10" s="1"/>
  <c r="E265" i="10"/>
  <c r="F265" i="10" s="1"/>
  <c r="F267" i="10" s="1"/>
  <c r="F271" i="10" s="1"/>
  <c r="F272" i="10" s="1"/>
  <c r="F273" i="10" s="1"/>
  <c r="E350" i="10"/>
  <c r="F350" i="10" s="1"/>
  <c r="F352" i="10" s="1"/>
  <c r="F356" i="10" s="1"/>
  <c r="F357" i="10" s="1"/>
  <c r="F358" i="10" s="1"/>
  <c r="B35" i="4"/>
  <c r="B36" i="4" s="1"/>
  <c r="B37" i="4" s="1"/>
  <c r="B38" i="4" s="1"/>
  <c r="B39" i="4" s="1"/>
  <c r="E1594" i="6"/>
  <c r="F1594" i="6" s="1"/>
  <c r="F1596" i="6" s="1"/>
  <c r="F1599" i="6" s="1"/>
  <c r="F1600" i="6" s="1"/>
  <c r="F1601" i="6" s="1"/>
  <c r="E1694" i="6"/>
  <c r="F1694" i="6" s="1"/>
  <c r="E1696" i="6" s="1"/>
  <c r="F1696" i="6" s="1"/>
  <c r="F1697" i="6" s="1"/>
  <c r="F1700" i="6" s="1"/>
  <c r="F1701" i="6" s="1"/>
  <c r="F1702" i="6" s="1"/>
  <c r="E1086" i="6"/>
  <c r="F1086" i="6" s="1"/>
  <c r="F1089" i="6" s="1"/>
  <c r="F1093" i="6" s="1"/>
  <c r="F1094" i="6" s="1"/>
  <c r="F1095" i="6" s="1"/>
  <c r="E1064" i="6"/>
  <c r="F1064" i="6" s="1"/>
  <c r="F1067" i="6" s="1"/>
  <c r="F1071" i="6" s="1"/>
  <c r="F1072" i="6" s="1"/>
  <c r="F1073" i="6" s="1"/>
  <c r="E436" i="6"/>
  <c r="F436" i="6" s="1"/>
  <c r="F438" i="6" s="1"/>
  <c r="F442" i="6" s="1"/>
  <c r="F443" i="6" s="1"/>
  <c r="F444" i="6" s="1"/>
  <c r="E186" i="6"/>
  <c r="F186" i="6" s="1"/>
  <c r="F188" i="6" s="1"/>
  <c r="F192" i="6" s="1"/>
  <c r="F193" i="6" s="1"/>
  <c r="F194" i="6" s="1"/>
  <c r="E680" i="6"/>
  <c r="F680" i="6" s="1"/>
  <c r="F682" i="6" s="1"/>
  <c r="F686" i="6" s="1"/>
  <c r="F687" i="6" s="1"/>
  <c r="F688" i="6" s="1"/>
  <c r="E700" i="6"/>
  <c r="F700" i="6" s="1"/>
  <c r="F701" i="6" s="1"/>
  <c r="F705" i="6" s="1"/>
  <c r="F706" i="6" s="1"/>
  <c r="F707" i="6" s="1"/>
  <c r="F526" i="6"/>
  <c r="F518" i="6"/>
  <c r="F551" i="6"/>
  <c r="F543" i="6"/>
  <c r="E226" i="6"/>
  <c r="F226" i="6" s="1"/>
  <c r="E1042" i="6"/>
  <c r="F1042" i="6" s="1"/>
  <c r="F1045" i="6" s="1"/>
  <c r="F1049" i="6" s="1"/>
  <c r="F1050" i="6" s="1"/>
  <c r="F1051" i="6" s="1"/>
  <c r="E1020" i="6"/>
  <c r="F1020" i="6" s="1"/>
  <c r="F1023" i="6" s="1"/>
  <c r="F1027" i="6" s="1"/>
  <c r="F1028" i="6" s="1"/>
  <c r="F1029" i="6" s="1"/>
  <c r="G40" i="3" s="1"/>
  <c r="H40" i="3" s="1"/>
  <c r="F1258" i="6"/>
  <c r="F1259" i="6" s="1"/>
  <c r="F1260" i="6" s="1"/>
  <c r="F1345" i="6"/>
  <c r="F1346" i="6" s="1"/>
  <c r="F1347" i="6" s="1"/>
  <c r="E594" i="6"/>
  <c r="F594" i="6" s="1"/>
  <c r="F597" i="6" s="1"/>
  <c r="F601" i="6" s="1"/>
  <c r="F602" i="6" s="1"/>
  <c r="F603" i="6" s="1"/>
  <c r="E291" i="6"/>
  <c r="F291" i="6" s="1"/>
  <c r="F295" i="6" s="1"/>
  <c r="F299" i="6" s="1"/>
  <c r="F300" i="6" s="1"/>
  <c r="F301" i="6" s="1"/>
  <c r="E998" i="6"/>
  <c r="F998" i="6" s="1"/>
  <c r="F1001" i="6" s="1"/>
  <c r="F1005" i="6" s="1"/>
  <c r="F1006" i="6" s="1"/>
  <c r="F1007" i="6" s="1"/>
  <c r="E415" i="6"/>
  <c r="F415" i="6" s="1"/>
  <c r="F417" i="6" s="1"/>
  <c r="F421" i="6" s="1"/>
  <c r="F422" i="6" s="1"/>
  <c r="F423" i="6" s="1"/>
  <c r="E228" i="6"/>
  <c r="F228" i="6" s="1"/>
  <c r="F1365" i="6"/>
  <c r="F1366" i="6" s="1"/>
  <c r="F1367" i="6" s="1"/>
  <c r="F905" i="6"/>
  <c r="F906" i="6" s="1"/>
  <c r="F907" i="6" s="1"/>
  <c r="F623" i="6"/>
  <c r="F624" i="6" s="1"/>
  <c r="F625" i="6" s="1"/>
  <c r="G50" i="3" s="1"/>
  <c r="F925" i="6"/>
  <c r="F926" i="6" s="1"/>
  <c r="F927" i="6" s="1"/>
  <c r="F984" i="6"/>
  <c r="F985" i="6" s="1"/>
  <c r="F725" i="6"/>
  <c r="F726" i="6" s="1"/>
  <c r="F727" i="6" s="1"/>
  <c r="F864" i="6"/>
  <c r="F865" i="6" s="1"/>
  <c r="F866" i="6" s="1"/>
  <c r="F505" i="6"/>
  <c r="F506" i="6" s="1"/>
  <c r="F507" i="6" s="1"/>
  <c r="F508" i="6" s="1"/>
  <c r="F480" i="6"/>
  <c r="F481" i="6" s="1"/>
  <c r="F482" i="6" s="1"/>
  <c r="F460" i="6"/>
  <c r="F461" i="6" s="1"/>
  <c r="F400" i="6"/>
  <c r="F401" i="6" s="1"/>
  <c r="F402" i="6" s="1"/>
  <c r="F250" i="6"/>
  <c r="F276" i="6"/>
  <c r="F277" i="6" s="1"/>
  <c r="F278" i="6" s="1"/>
  <c r="F246" i="6"/>
  <c r="F224" i="6"/>
  <c r="F208" i="6"/>
  <c r="F204" i="6"/>
  <c r="F61" i="6"/>
  <c r="F68" i="6" s="1"/>
  <c r="F44" i="6"/>
  <c r="F51" i="6" s="1"/>
  <c r="E1713" i="6" l="1"/>
  <c r="F1713" i="6" s="1"/>
  <c r="G39" i="3"/>
  <c r="H39" i="3" s="1"/>
  <c r="E1709" i="6"/>
  <c r="F1709" i="6" s="1"/>
  <c r="G38" i="3"/>
  <c r="H38" i="3" s="1"/>
  <c r="H51" i="3"/>
  <c r="H50" i="3"/>
  <c r="E1710" i="6"/>
  <c r="F1710" i="6" s="1"/>
  <c r="B41" i="4"/>
  <c r="B43" i="4" s="1"/>
  <c r="B45" i="4" s="1"/>
  <c r="B46" i="4" s="1"/>
  <c r="H45" i="3"/>
  <c r="H44" i="3"/>
  <c r="F530" i="6"/>
  <c r="F531" i="6" s="1"/>
  <c r="F532" i="6" s="1"/>
  <c r="F533" i="6" s="1"/>
  <c r="H25" i="3"/>
  <c r="F230" i="6"/>
  <c r="F234" i="6" s="1"/>
  <c r="F235" i="6" s="1"/>
  <c r="F236" i="6" s="1"/>
  <c r="F555" i="6"/>
  <c r="F556" i="6" s="1"/>
  <c r="F557" i="6" s="1"/>
  <c r="H23" i="3"/>
  <c r="H71" i="3"/>
  <c r="H74" i="3" s="1"/>
  <c r="D13" i="5" s="1"/>
  <c r="F483" i="6"/>
  <c r="F279" i="6"/>
  <c r="F254" i="6"/>
  <c r="F255" i="6" s="1"/>
  <c r="F256" i="6" s="1"/>
  <c r="F257" i="6" s="1"/>
  <c r="E1712" i="6" s="1"/>
  <c r="F1712" i="6" s="1"/>
  <c r="F212" i="6"/>
  <c r="F213" i="6" s="1"/>
  <c r="F214" i="6" s="1"/>
  <c r="F69" i="6"/>
  <c r="F70" i="6" s="1"/>
  <c r="F52" i="6"/>
  <c r="F53" i="6" s="1"/>
  <c r="H9" i="3"/>
  <c r="E1708" i="6" l="1"/>
  <c r="F1708" i="6" s="1"/>
  <c r="G37" i="3"/>
  <c r="H37" i="3" s="1"/>
  <c r="H47" i="3" s="1"/>
  <c r="D10" i="5" s="1"/>
  <c r="B48" i="4"/>
  <c r="E1711" i="6"/>
  <c r="F1711" i="6" s="1"/>
  <c r="F1715" i="6" s="1"/>
  <c r="H56" i="3"/>
  <c r="H52" i="3"/>
  <c r="H20" i="3"/>
  <c r="H34" i="3" s="1"/>
  <c r="D9" i="5" s="1"/>
  <c r="B49" i="4" l="1"/>
  <c r="B50" i="4" s="1"/>
  <c r="F1716" i="6"/>
  <c r="F1718" i="6" s="1"/>
  <c r="H61" i="3" s="1"/>
  <c r="D11" i="5" s="1"/>
  <c r="B52" i="4" l="1"/>
  <c r="B54" i="4" s="1"/>
  <c r="B56" i="4" s="1"/>
  <c r="B58" i="4" s="1"/>
  <c r="B60" i="4" s="1"/>
  <c r="B62" i="4" s="1"/>
  <c r="B8" i="5"/>
  <c r="A8" i="5"/>
  <c r="B63" i="4" l="1"/>
  <c r="B64" i="4" s="1"/>
  <c r="B67" i="4" s="1"/>
  <c r="B70" i="4" s="1"/>
  <c r="B71" i="4" s="1"/>
  <c r="B72" i="4" s="1"/>
  <c r="B73" i="4" s="1"/>
  <c r="B74" i="4" s="1"/>
  <c r="B76" i="4" s="1"/>
  <c r="B77" i="4" s="1"/>
  <c r="B80" i="4" s="1"/>
  <c r="B81" i="4" s="1"/>
  <c r="B82" i="4" s="1"/>
  <c r="B83" i="4" s="1"/>
  <c r="B85" i="4" s="1"/>
  <c r="B86" i="4" s="1"/>
  <c r="B87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H18" i="3"/>
  <c r="D8" i="5" s="1"/>
  <c r="D16" i="5" s="1"/>
  <c r="B99" i="4" l="1"/>
  <c r="B101" i="4" s="1"/>
  <c r="B103" i="4" s="1"/>
  <c r="B105" i="4" s="1"/>
  <c r="B106" i="4" s="1"/>
  <c r="B107" i="4" s="1"/>
  <c r="B108" i="4" s="1"/>
  <c r="B109" i="4" s="1"/>
  <c r="B110" i="4" s="1"/>
  <c r="B111" i="4" l="1"/>
  <c r="B112" i="4" s="1"/>
  <c r="B113" i="4" s="1"/>
  <c r="D17" i="5"/>
  <c r="D18" i="5" s="1"/>
  <c r="D19" i="5" s="1"/>
  <c r="B114" i="4" l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</calcChain>
</file>

<file path=xl/sharedStrings.xml><?xml version="1.0" encoding="utf-8"?>
<sst xmlns="http://schemas.openxmlformats.org/spreadsheetml/2006/main" count="5871" uniqueCount="741">
  <si>
    <t>Satuan</t>
  </si>
  <si>
    <t>A.</t>
  </si>
  <si>
    <t>No.</t>
  </si>
  <si>
    <t>Uraian</t>
  </si>
  <si>
    <t>Indeks</t>
  </si>
  <si>
    <t>Harga Satuan    (Rp.)</t>
  </si>
  <si>
    <t>Jumlah Harga   (Rp.)</t>
  </si>
  <si>
    <t>OH</t>
  </si>
  <si>
    <t>JUMLAH HARGA UPAH</t>
  </si>
  <si>
    <t>B.</t>
  </si>
  <si>
    <t>JUMLAH HARGA BAHAN</t>
  </si>
  <si>
    <t>C.</t>
  </si>
  <si>
    <t>JUMLAH HARGA ALAT</t>
  </si>
  <si>
    <t>D.</t>
  </si>
  <si>
    <t xml:space="preserve">  Jumlah (A+B+C)</t>
  </si>
  <si>
    <t>E.</t>
  </si>
  <si>
    <t>F.</t>
  </si>
  <si>
    <t xml:space="preserve">  Harga Satuan Pekerjaan (D+E)</t>
  </si>
  <si>
    <r>
      <t>m</t>
    </r>
    <r>
      <rPr>
        <vertAlign val="superscript"/>
        <sz val="11"/>
        <color theme="1"/>
        <rFont val="Arial Narrow"/>
        <family val="2"/>
      </rPr>
      <t>2</t>
    </r>
  </si>
  <si>
    <t>m</t>
  </si>
  <si>
    <t>buah</t>
  </si>
  <si>
    <t>kg</t>
  </si>
  <si>
    <t>Paku skrup</t>
  </si>
  <si>
    <t>lembar</t>
  </si>
  <si>
    <r>
      <t>m</t>
    </r>
    <r>
      <rPr>
        <vertAlign val="superscript"/>
        <sz val="10"/>
        <rFont val="Arial Narrow"/>
        <family val="2"/>
      </rPr>
      <t>3</t>
    </r>
  </si>
  <si>
    <t>btg</t>
  </si>
  <si>
    <t>NO.</t>
  </si>
  <si>
    <t>URAIAN PEKERJAAN</t>
  </si>
  <si>
    <t>ANALISA</t>
  </si>
  <si>
    <t>SATUAN</t>
  </si>
  <si>
    <t>HARGA SATUAN (Rp.)</t>
  </si>
  <si>
    <t>JUMLAH HARGA (Rp.)</t>
  </si>
  <si>
    <t>I.</t>
  </si>
  <si>
    <t>Kepala Tukang</t>
  </si>
  <si>
    <t>Cat dasar</t>
  </si>
  <si>
    <t>Ls</t>
  </si>
  <si>
    <r>
      <t>m</t>
    </r>
    <r>
      <rPr>
        <vertAlign val="superscript"/>
        <sz val="10"/>
        <rFont val="Arial Narrow"/>
        <family val="2"/>
      </rPr>
      <t>2</t>
    </r>
  </si>
  <si>
    <t>DAFTAR HARGA BAHAN</t>
  </si>
  <si>
    <t>NAMA BAHAN</t>
  </si>
  <si>
    <t>UPAH</t>
  </si>
  <si>
    <t>Pekerja</t>
  </si>
  <si>
    <t>Tukang</t>
  </si>
  <si>
    <t>Mandor</t>
  </si>
  <si>
    <t>II.</t>
  </si>
  <si>
    <t>BAHAN</t>
  </si>
  <si>
    <t>bh</t>
  </si>
  <si>
    <t>Paku biasa</t>
  </si>
  <si>
    <t>JUMLAH HARGA</t>
  </si>
  <si>
    <t>JUMLAH</t>
  </si>
  <si>
    <t>PPN</t>
  </si>
  <si>
    <t>GRAND TOTAL</t>
  </si>
  <si>
    <t xml:space="preserve">  Overhead &amp; Profit (15%)</t>
  </si>
  <si>
    <t>NAMA PEKERJAAN</t>
  </si>
  <si>
    <t>lbr</t>
  </si>
  <si>
    <t>Plamur</t>
  </si>
  <si>
    <t>Cat penutup</t>
  </si>
  <si>
    <t>PEMBULATAN</t>
  </si>
  <si>
    <t>PEKERJAAN PENDAHULUAN</t>
  </si>
  <si>
    <t>-</t>
  </si>
  <si>
    <r>
      <t>m</t>
    </r>
    <r>
      <rPr>
        <vertAlign val="superscript"/>
        <sz val="11"/>
        <color theme="1"/>
        <rFont val="Arial Narrow"/>
        <family val="2"/>
      </rPr>
      <t>3</t>
    </r>
  </si>
  <si>
    <t>A.2.3.1.1</t>
  </si>
  <si>
    <t>A.2.3.1.2</t>
  </si>
  <si>
    <t>A.4.1.1.17</t>
  </si>
  <si>
    <t>A.4.1.1.20</t>
  </si>
  <si>
    <t>A.2.3.1.14</t>
  </si>
  <si>
    <t>A.2.3.1.11</t>
  </si>
  <si>
    <t>A.4.4.1.7</t>
  </si>
  <si>
    <t>m'</t>
  </si>
  <si>
    <t>A.4.4.3.13</t>
  </si>
  <si>
    <t>A.4.7.1.10</t>
  </si>
  <si>
    <t>A.4.6.2.19</t>
  </si>
  <si>
    <t>A.4.6.2.17</t>
  </si>
  <si>
    <r>
      <t>Penggalian 1 m</t>
    </r>
    <r>
      <rPr>
        <b/>
        <vertAlign val="superscript"/>
        <sz val="10"/>
        <rFont val="Arial Narrow"/>
        <family val="2"/>
      </rPr>
      <t>3</t>
    </r>
    <r>
      <rPr>
        <b/>
        <sz val="10"/>
        <rFont val="Arial Narrow"/>
        <family val="2"/>
      </rPr>
      <t xml:space="preserve"> tanah biasa sedalam 1 m</t>
    </r>
  </si>
  <si>
    <r>
      <t>Penggalian 1 m</t>
    </r>
    <r>
      <rPr>
        <b/>
        <vertAlign val="superscript"/>
        <sz val="10"/>
        <rFont val="Arial Narrow"/>
        <family val="2"/>
      </rPr>
      <t>3</t>
    </r>
    <r>
      <rPr>
        <b/>
        <sz val="10"/>
        <rFont val="Arial Narrow"/>
        <family val="2"/>
      </rPr>
      <t xml:space="preserve"> tanah biasa sedalam 2 m</t>
    </r>
  </si>
  <si>
    <t>A.3.2.1.9</t>
  </si>
  <si>
    <t>Batu belah</t>
  </si>
  <si>
    <t>UPAH / TENAGA</t>
  </si>
  <si>
    <t>BAHAN / MATERIAL</t>
  </si>
  <si>
    <t>PERALATAN</t>
  </si>
  <si>
    <t>Jumlah (A+B+C)</t>
  </si>
  <si>
    <t>Overhead &amp; Profit (15%)</t>
  </si>
  <si>
    <t>Harga Satuan Pekerjaan (D+E)</t>
  </si>
  <si>
    <t>Pasir urug</t>
  </si>
  <si>
    <r>
      <t>(K3) Pemasangan 1 m</t>
    </r>
    <r>
      <rPr>
        <b/>
        <vertAlign val="superscript"/>
        <sz val="10"/>
        <rFont val="Arial Narrow"/>
        <family val="2"/>
      </rPr>
      <t>3</t>
    </r>
    <r>
      <rPr>
        <b/>
        <sz val="10"/>
        <rFont val="Arial Narrow"/>
        <family val="2"/>
      </rPr>
      <t xml:space="preserve"> batu kosong (anstamping)</t>
    </r>
  </si>
  <si>
    <r>
      <t>Membuat 1 m</t>
    </r>
    <r>
      <rPr>
        <b/>
        <vertAlign val="superscript"/>
        <sz val="10"/>
        <rFont val="Arial Narrow"/>
        <family val="2"/>
      </rPr>
      <t>3</t>
    </r>
    <r>
      <rPr>
        <b/>
        <sz val="10"/>
        <rFont val="Arial Narrow"/>
        <family val="2"/>
      </rPr>
      <t xml:space="preserve"> lantai kerja beton mutu f'c=7,4 Mpa slump (3-6)cm, w/c=0,87</t>
    </r>
  </si>
  <si>
    <t>Semen portland</t>
  </si>
  <si>
    <t>Tukang kayu</t>
  </si>
  <si>
    <t>Kepala tukang</t>
  </si>
  <si>
    <t>liter</t>
  </si>
  <si>
    <t>Pasir beton</t>
  </si>
  <si>
    <t>Kerikil (maks. 30mm)</t>
  </si>
  <si>
    <t>zak</t>
  </si>
  <si>
    <t>Air</t>
  </si>
  <si>
    <t>Pembesian 10  kg dengan besi polos atau besi ulir</t>
  </si>
  <si>
    <t>Besi beton (polos/ulir)</t>
  </si>
  <si>
    <t>Kawat beton</t>
  </si>
  <si>
    <t>Besi beton</t>
  </si>
  <si>
    <t>Untuk besi 1 kg</t>
  </si>
  <si>
    <t>Kayu kelas III</t>
  </si>
  <si>
    <t>Paku 5 - 10 cm</t>
  </si>
  <si>
    <t>Minyak bekesting</t>
  </si>
  <si>
    <t>Paku</t>
  </si>
  <si>
    <t>Minyak bekisting</t>
  </si>
  <si>
    <r>
      <t>Pengurugan 1 m</t>
    </r>
    <r>
      <rPr>
        <b/>
        <vertAlign val="superscript"/>
        <sz val="10"/>
        <rFont val="Arial Narrow"/>
        <family val="2"/>
      </rPr>
      <t>3</t>
    </r>
    <r>
      <rPr>
        <b/>
        <sz val="10"/>
        <rFont val="Arial Narrow"/>
        <family val="2"/>
      </rPr>
      <t xml:space="preserve"> sirtu padat</t>
    </r>
  </si>
  <si>
    <t>Sirtu</t>
  </si>
  <si>
    <t>Batu merah</t>
  </si>
  <si>
    <t>Pasir pasang</t>
  </si>
  <si>
    <r>
      <t>Pemasangan 1 m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dinding bata merah 1/2 batu bata 1SP : 2PP</t>
    </r>
  </si>
  <si>
    <r>
      <t>Pengurugan 1 m</t>
    </r>
    <r>
      <rPr>
        <b/>
        <vertAlign val="superscript"/>
        <sz val="10"/>
        <rFont val="Arial Narrow"/>
        <family val="2"/>
      </rPr>
      <t>3</t>
    </r>
    <r>
      <rPr>
        <b/>
        <sz val="10"/>
        <rFont val="Arial Narrow"/>
        <family val="2"/>
      </rPr>
      <t>dengan pasir urug</t>
    </r>
  </si>
  <si>
    <t>A.4.4.1.21</t>
  </si>
  <si>
    <t>A.4.4.1.22</t>
  </si>
  <si>
    <t>Paku 5 cm - 12 cm</t>
  </si>
  <si>
    <t>Balok kayu kelas II</t>
  </si>
  <si>
    <t>Plywood tebal 9 mm</t>
  </si>
  <si>
    <t>batang</t>
  </si>
  <si>
    <t>A.4.4.1.23</t>
  </si>
  <si>
    <t>Pemasangan 1 m lantai ubin teralux marmer ukuran 60x60 cm</t>
  </si>
  <si>
    <t>Ubin teralux marmer</t>
  </si>
  <si>
    <t>Semen warna</t>
  </si>
  <si>
    <t>dus</t>
  </si>
  <si>
    <t>Baja ringan C75</t>
  </si>
  <si>
    <t>A.4.2.1.18</t>
  </si>
  <si>
    <t>Genteng Metal</t>
  </si>
  <si>
    <t>Pemasangan 1 m' talang datar / jurai seng bjls 28 lebar 90 cm</t>
  </si>
  <si>
    <t>Seng pelat</t>
  </si>
  <si>
    <t>Paku 1 cm - 2,5 cm</t>
  </si>
  <si>
    <t>Papan kayu kelas II atau III</t>
  </si>
  <si>
    <t>Papan kayu kelas III</t>
  </si>
  <si>
    <t>A.4.2.1.9</t>
  </si>
  <si>
    <t>Plafond PVC</t>
  </si>
  <si>
    <t>List gypsum</t>
  </si>
  <si>
    <r>
      <t>Pemasangan 1 m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sunscreen aluminium</t>
    </r>
  </si>
  <si>
    <t>Sunscreen aluminium</t>
  </si>
  <si>
    <t>A.4.4.3.10</t>
  </si>
  <si>
    <t>Ubin granit</t>
  </si>
  <si>
    <t>Granit 60x60 cm</t>
  </si>
  <si>
    <r>
      <t>Pengecatan 1 m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tembok baru</t>
    </r>
  </si>
  <si>
    <r>
      <t>Pemasangan 1 m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kaca tebal 5mm</t>
    </r>
  </si>
  <si>
    <t>Kaca tebal 5mm</t>
  </si>
  <si>
    <t>Sealant</t>
  </si>
  <si>
    <r>
      <t>Pemasangan 1 m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kaca buram tebal 12mm</t>
    </r>
  </si>
  <si>
    <t>Kaca buram tebal 12mm</t>
  </si>
  <si>
    <t>Kaca tempered 12mm</t>
  </si>
  <si>
    <t>ANALISA HARGA SATUAN PEKERJAAN</t>
  </si>
  <si>
    <t>(AHSP)</t>
  </si>
  <si>
    <t>Seng pelat, t=0,7mm</t>
  </si>
  <si>
    <t>Seng pelat, t=1,2mm</t>
  </si>
  <si>
    <t>Dolken kayu Ø 8-10cm - panj 4m</t>
  </si>
  <si>
    <t>HARGA SATUAN      (Rp.)</t>
  </si>
  <si>
    <t xml:space="preserve">PPL Supl. 6.1  </t>
  </si>
  <si>
    <t xml:space="preserve">  UPAH / TENAGA</t>
  </si>
  <si>
    <t xml:space="preserve">  Pekerja</t>
  </si>
  <si>
    <t xml:space="preserve">  Tukang Kayu</t>
  </si>
  <si>
    <t xml:space="preserve">  Kepala Tukang</t>
  </si>
  <si>
    <t xml:space="preserve">  Mandor</t>
  </si>
  <si>
    <t xml:space="preserve">  BAHAN / MATERIAL</t>
  </si>
  <si>
    <t xml:space="preserve">  Rangka Furing t.0,35 mm</t>
  </si>
  <si>
    <t>M'</t>
  </si>
  <si>
    <t xml:space="preserve">  Skrup gypsum</t>
  </si>
  <si>
    <t>Bh</t>
  </si>
  <si>
    <t xml:space="preserve">  PERALATAN</t>
  </si>
  <si>
    <t xml:space="preserve">  Harga Satuan Pekerjaan Untuk 1 M2</t>
  </si>
  <si>
    <t>Rangka furing 0,35mm</t>
  </si>
  <si>
    <t>Skrup gypsum</t>
  </si>
  <si>
    <r>
      <t>Memasang 10 m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rangka plafond besi furing</t>
    </r>
  </si>
  <si>
    <r>
      <t>(K3) Pemasangan 1 m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bekisting untuk balok</t>
    </r>
  </si>
  <si>
    <r>
      <t>(K3) Pemasangan 1 m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bekisting untuk kolom</t>
    </r>
  </si>
  <si>
    <r>
      <t>(K3) Pemasangan 1 m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bekisting untuk sloof</t>
    </r>
  </si>
  <si>
    <r>
      <t>(K3) Pemasangan 1 m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bekisting untuk pondasi</t>
    </r>
  </si>
  <si>
    <t xml:space="preserve">  Pemakaian bekisting 2x</t>
  </si>
  <si>
    <t>A.4.2.1.22.01</t>
  </si>
  <si>
    <t xml:space="preserve">  Truss C. 75.t =0,75mm</t>
  </si>
  <si>
    <t xml:space="preserve">  Topspan Truss Π. t=0,5 mm</t>
  </si>
  <si>
    <t xml:space="preserve">  Dynabolt 12 x 199 mm</t>
  </si>
  <si>
    <t xml:space="preserve">  Screw Truss 10-16 x 16</t>
  </si>
  <si>
    <t>Truss C. 75.t =0,75mm</t>
  </si>
  <si>
    <t>M1</t>
  </si>
  <si>
    <t>TAKSIR 2</t>
  </si>
  <si>
    <t xml:space="preserve">  1m2 Pasang Atap Metal Bergelombang Tbl. 0,30 mm</t>
  </si>
  <si>
    <t xml:space="preserve">  Atap Spandek Tbl. 0,30 mm</t>
  </si>
  <si>
    <t xml:space="preserve">  Screw Truss 12-14 x 20</t>
  </si>
  <si>
    <t>M2</t>
  </si>
  <si>
    <t>Atap Spandek #0,30 mm</t>
  </si>
  <si>
    <t>Paku skrup 12-14 x 20</t>
  </si>
  <si>
    <t>Paku skrup 10-16 x 16</t>
  </si>
  <si>
    <t>Hitung 1</t>
  </si>
  <si>
    <t>Pemasangan 1 m2 langit-langit PVC</t>
  </si>
  <si>
    <t>Screw</t>
  </si>
  <si>
    <t>Buah</t>
  </si>
  <si>
    <t>m2</t>
  </si>
  <si>
    <t>Plafond PVC, t=6 Mm</t>
  </si>
  <si>
    <t>Plafond PVC, t=6 Mm, p=3,96 M, l=20 Cm</t>
  </si>
  <si>
    <t>Hitung 2</t>
  </si>
  <si>
    <t>Pemasangan 1 m' list langit-langit PVC</t>
  </si>
  <si>
    <t xml:space="preserve">  List PVC</t>
  </si>
  <si>
    <t xml:space="preserve">  Screw</t>
  </si>
  <si>
    <t>List Plafond PVC</t>
  </si>
  <si>
    <t>m1</t>
  </si>
  <si>
    <t>A.5.1.1 31</t>
  </si>
  <si>
    <t xml:space="preserve">  Tukang Batu</t>
  </si>
  <si>
    <t>M</t>
  </si>
  <si>
    <t xml:space="preserve">  Perlengkapan</t>
  </si>
  <si>
    <t>%</t>
  </si>
  <si>
    <r>
      <t>m</t>
    </r>
    <r>
      <rPr>
        <vertAlign val="superscript"/>
        <sz val="10"/>
        <color rgb="FFFF0000"/>
        <rFont val="Arial Narrow"/>
        <family val="2"/>
      </rPr>
      <t>3</t>
    </r>
  </si>
  <si>
    <r>
      <t>Pemasangan 1 m</t>
    </r>
    <r>
      <rPr>
        <b/>
        <vertAlign val="superscript"/>
        <sz val="10"/>
        <color rgb="FF00B050"/>
        <rFont val="Arial Narrow"/>
        <family val="2"/>
      </rPr>
      <t>2</t>
    </r>
    <r>
      <rPr>
        <b/>
        <sz val="10"/>
        <color rgb="FF00B050"/>
        <rFont val="Arial Narrow"/>
        <family val="2"/>
      </rPr>
      <t xml:space="preserve"> lantai ubin granit ukuran 30cm x 30cm</t>
    </r>
  </si>
  <si>
    <r>
      <t>m</t>
    </r>
    <r>
      <rPr>
        <vertAlign val="superscript"/>
        <sz val="10"/>
        <color rgb="FF00B050"/>
        <rFont val="Arial Narrow"/>
        <family val="2"/>
      </rPr>
      <t>3</t>
    </r>
  </si>
  <si>
    <t>Keramik 30x30 cm</t>
  </si>
  <si>
    <t>Keramik 40x40 cm</t>
  </si>
  <si>
    <r>
      <t>Pemasangan 1 m</t>
    </r>
    <r>
      <rPr>
        <b/>
        <vertAlign val="superscript"/>
        <sz val="10"/>
        <color rgb="FF7030A0"/>
        <rFont val="Arial Narrow"/>
        <family val="2"/>
      </rPr>
      <t>2</t>
    </r>
    <r>
      <rPr>
        <b/>
        <sz val="10"/>
        <color rgb="FF7030A0"/>
        <rFont val="Arial Narrow"/>
        <family val="2"/>
      </rPr>
      <t xml:space="preserve"> lantai ubin granit ukuran 40cm x 40cm</t>
    </r>
  </si>
  <si>
    <t xml:space="preserve">  Lantai keramik 40x40 cm</t>
  </si>
  <si>
    <t xml:space="preserve">  Portland cement</t>
  </si>
  <si>
    <t xml:space="preserve">  Pasir pasang</t>
  </si>
  <si>
    <t xml:space="preserve">  Semen warna</t>
  </si>
  <si>
    <t>Kg</t>
  </si>
  <si>
    <t>M3</t>
  </si>
  <si>
    <t>A. 4.4.3.34a</t>
  </si>
  <si>
    <t>A.8.4.6.1</t>
  </si>
  <si>
    <t>Kabel</t>
  </si>
  <si>
    <t>T Dus</t>
  </si>
  <si>
    <t>L Bow</t>
  </si>
  <si>
    <t>Las Dop</t>
  </si>
  <si>
    <t>Klem</t>
  </si>
  <si>
    <t>Mongkok</t>
  </si>
  <si>
    <t>Fitting</t>
  </si>
  <si>
    <t>Upah</t>
  </si>
  <si>
    <t>Pipa listrik 5/8"</t>
  </si>
  <si>
    <t>Saklar Seri</t>
  </si>
  <si>
    <t>Stop Kontak</t>
  </si>
  <si>
    <t>Lampu Baret Meson Kotak LED 17 Watt</t>
  </si>
  <si>
    <t>A.4.1.1.7a</t>
  </si>
  <si>
    <r>
      <t>Membuat 1 m</t>
    </r>
    <r>
      <rPr>
        <b/>
        <vertAlign val="superscript"/>
        <sz val="10"/>
        <rFont val="Arial Narrow"/>
        <family val="2"/>
      </rPr>
      <t>3</t>
    </r>
    <r>
      <rPr>
        <b/>
        <sz val="10"/>
        <rFont val="Arial Narrow"/>
        <family val="2"/>
      </rPr>
      <t xml:space="preserve"> beton Camp. 1:2:3, Setara K-175</t>
    </r>
  </si>
  <si>
    <t>Volume</t>
  </si>
  <si>
    <r>
      <t>(K3) Pemasangan 1 m</t>
    </r>
    <r>
      <rPr>
        <b/>
        <vertAlign val="superscript"/>
        <sz val="10"/>
        <color rgb="FFFF0000"/>
        <rFont val="Arial Narrow"/>
        <family val="2"/>
      </rPr>
      <t>2</t>
    </r>
    <r>
      <rPr>
        <b/>
        <sz val="10"/>
        <color rgb="FFFF0000"/>
        <rFont val="Arial Narrow"/>
        <family val="2"/>
      </rPr>
      <t xml:space="preserve"> atap pelana rangka atap baja canal dingin profil C75</t>
    </r>
  </si>
  <si>
    <t>A.4.2.1.22.01d</t>
  </si>
  <si>
    <t>A. 4.4.3.34b</t>
  </si>
  <si>
    <r>
      <t>Pemasangan 1 m</t>
    </r>
    <r>
      <rPr>
        <b/>
        <vertAlign val="superscript"/>
        <sz val="10"/>
        <color rgb="FFFF0000"/>
        <rFont val="Arial Narrow"/>
        <family val="2"/>
      </rPr>
      <t>2</t>
    </r>
    <r>
      <rPr>
        <b/>
        <sz val="10"/>
        <color rgb="FFFF0000"/>
        <rFont val="Arial Narrow"/>
        <family val="2"/>
      </rPr>
      <t xml:space="preserve"> lantai ubin granit ukuran 60cm x 60cm</t>
    </r>
  </si>
  <si>
    <t>Unit</t>
  </si>
  <si>
    <t>A.4.6.1.8</t>
  </si>
  <si>
    <t>Pembuatan 1 m2 daun pintu plywood rangkap, rangka kayu kelas II + HPL</t>
  </si>
  <si>
    <t xml:space="preserve">  Papan Kayu</t>
  </si>
  <si>
    <t>m3</t>
  </si>
  <si>
    <t xml:space="preserve">  Paku 1 - 2,5 cm</t>
  </si>
  <si>
    <t xml:space="preserve">  Lem kayu</t>
  </si>
  <si>
    <t xml:space="preserve">  Plywood #9 mm uk (120 x 240)cm</t>
  </si>
  <si>
    <t>HPL</t>
  </si>
  <si>
    <t>Papan kayu kelas II</t>
  </si>
  <si>
    <t>Lem Kayu</t>
  </si>
  <si>
    <t>Partisi High Pressure Laminated 120 x 240 Cm</t>
  </si>
  <si>
    <t>Lbr</t>
  </si>
  <si>
    <t>A.4.6.1.25</t>
  </si>
  <si>
    <t>Pemasangan 1 m dinding pemisah plywood rangkap, rangka kayu kelas II + HPL</t>
  </si>
  <si>
    <t>BACK UP DATA</t>
  </si>
  <si>
    <t>NO</t>
  </si>
  <si>
    <t>PEKERJAAN</t>
  </si>
  <si>
    <t>PERHITUNGAN VOLUME PEKERJAAN</t>
  </si>
  <si>
    <t>Panjang</t>
  </si>
  <si>
    <t>Lebar</t>
  </si>
  <si>
    <t>Tinggi</t>
  </si>
  <si>
    <t>Berat</t>
  </si>
  <si>
    <t>Jumlah</t>
  </si>
  <si>
    <t>Sat.</t>
  </si>
  <si>
    <t>Hitung 3</t>
  </si>
  <si>
    <t>Membongkar 1m2 Plafond + Rangka</t>
  </si>
  <si>
    <t>Hitung 4</t>
  </si>
  <si>
    <t>Membongkar 1 m Listplank</t>
  </si>
  <si>
    <t>Hitung 5</t>
  </si>
  <si>
    <t>Membongkar 1m2 Dinding Kayu/ Partisi</t>
  </si>
  <si>
    <t>A.4.6.1.5</t>
  </si>
  <si>
    <t xml:space="preserve">  Papan kayu Kls II</t>
  </si>
  <si>
    <t xml:space="preserve">  Lem Kayu</t>
  </si>
  <si>
    <t xml:space="preserve">  Pembuatan dan pemasangan 1 m2 daun pintu panel, kayu kelas II</t>
  </si>
  <si>
    <t>A.4.6.2.5</t>
  </si>
  <si>
    <t xml:space="preserve">  Memasang 1 bh engsel pintu 4"</t>
  </si>
  <si>
    <t xml:space="preserve">  Engsel pintu 4"</t>
  </si>
  <si>
    <t>Engsel Pintu 4"</t>
  </si>
  <si>
    <t>A.4.6.2.2</t>
  </si>
  <si>
    <t xml:space="preserve">  Memasang 1 bh kunci tanam</t>
  </si>
  <si>
    <t>Kunci Tanam Biasa</t>
  </si>
  <si>
    <t>Kunci Tanam Antik (atau modern minimalis)</t>
  </si>
  <si>
    <t>Kunci Tanam Digital (Finger Print) Bergaransi</t>
  </si>
  <si>
    <t xml:space="preserve">  Kunci tanam Antik</t>
  </si>
  <si>
    <t>A.4.6.2.2a</t>
  </si>
  <si>
    <t xml:space="preserve">  Memasang 1 bh kunci tanam Antik (Modern Minimalis)</t>
  </si>
  <si>
    <t>A.4.7.1.4</t>
  </si>
  <si>
    <t xml:space="preserve">  1 m2 Pengecatan bidang kayu baru (1 lapis plamur, 1 lapis cat dasar, 2 lapis cat penutup)</t>
  </si>
  <si>
    <t xml:space="preserve">  Tukang Cat</t>
  </si>
  <si>
    <t xml:space="preserve">  Cat meni</t>
  </si>
  <si>
    <t xml:space="preserve">  Plamur</t>
  </si>
  <si>
    <t xml:space="preserve">  Cat dasar</t>
  </si>
  <si>
    <t xml:space="preserve">  Tinner</t>
  </si>
  <si>
    <t>Ltr</t>
  </si>
  <si>
    <t xml:space="preserve">  Ampelas</t>
  </si>
  <si>
    <t xml:space="preserve">  Overhead &amp; Profit (0%)</t>
  </si>
  <si>
    <t>Cat Meni</t>
  </si>
  <si>
    <t xml:space="preserve">  Cat Kilat/ Cat minyak</t>
  </si>
  <si>
    <t>Cat penutup (Cat Tembok)</t>
  </si>
  <si>
    <t>Cat penutup (Cat Minyak/ Cat Kilat)</t>
  </si>
  <si>
    <t>Kuas 4"</t>
  </si>
  <si>
    <t xml:space="preserve">  Kuas 4"</t>
  </si>
  <si>
    <t>Tinner</t>
  </si>
  <si>
    <t>Ampelas</t>
  </si>
  <si>
    <t>A.5.1.1 32</t>
  </si>
  <si>
    <t xml:space="preserve">  Pemasangan 1 m’ pipa PVC tipe AW diameter 4”</t>
  </si>
  <si>
    <t xml:space="preserve">  Pipa PVC 4"</t>
  </si>
  <si>
    <t>A.4.7.1.1</t>
  </si>
  <si>
    <t>1 M² Pengikisan/Pengerokan Permukaan Cat Lama</t>
  </si>
  <si>
    <t>Soda Api</t>
  </si>
  <si>
    <t>A.5.1.1.19</t>
  </si>
  <si>
    <t>Pemasangan 1 buah kran diameter 1/2" atau 3/4"</t>
  </si>
  <si>
    <t>Kran air</t>
  </si>
  <si>
    <t>Sealtape</t>
  </si>
  <si>
    <t>Kran Air Bahan Stainless</t>
  </si>
  <si>
    <t>Sealtipe</t>
  </si>
  <si>
    <t>A.4.7.1.10b</t>
  </si>
  <si>
    <t>Pengecatan 1 m2 Plafond Tripleks (1 plamur, 1 lapis cat dasar, 2 lapis cat minyak/ penutup)</t>
  </si>
  <si>
    <t>Cat Minyak/ penutup</t>
  </si>
  <si>
    <t>Pekerjaan pembersihan akhir dan merapikan kembali</t>
  </si>
  <si>
    <t>A.4.5.1.7</t>
  </si>
  <si>
    <t>1 M² Langit - langit gypsum board ukuran (1200 x 2400) mm</t>
  </si>
  <si>
    <t xml:space="preserve">  Tukang Besi</t>
  </si>
  <si>
    <t>Gypsum board</t>
  </si>
  <si>
    <t>Gypsum board (1200 x 2400) mm #9Mm</t>
  </si>
  <si>
    <t>A. 4.5.1.5</t>
  </si>
  <si>
    <t xml:space="preserve">  Pemasangan 1 m2 langit-langit triplek ukuran (120 x 240 cm), tebal 3,4 dan 6 mm</t>
  </si>
  <si>
    <t xml:space="preserve">  Paku Tripleks</t>
  </si>
  <si>
    <t>Triplek 120 x 240 mm, tbl. 4 mm</t>
  </si>
  <si>
    <t xml:space="preserve">  Tripleks 4 mm</t>
  </si>
  <si>
    <t>A.4.7.1.11</t>
  </si>
  <si>
    <r>
      <t>Pengecatan 1 m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tembok lama</t>
    </r>
  </si>
  <si>
    <t>Cat penutup 2 x</t>
  </si>
  <si>
    <t>A.4.2.1.10.</t>
  </si>
  <si>
    <t>Water Proofing</t>
  </si>
  <si>
    <t>Tukang batu</t>
  </si>
  <si>
    <t>Waterproffing</t>
  </si>
  <si>
    <t>Pengerjaan 1 M2 waterproofing kamar mandi (fosroc, sika, dan setara)</t>
  </si>
  <si>
    <t>PEKERJAAN AKHIR, DLL</t>
  </si>
  <si>
    <r>
      <t>M</t>
    </r>
    <r>
      <rPr>
        <vertAlign val="superscript"/>
        <sz val="11"/>
        <color theme="1"/>
        <rFont val="Arial Narrow"/>
        <family val="2"/>
      </rPr>
      <t>1</t>
    </r>
  </si>
  <si>
    <t>Hollow 40.40.1,8</t>
  </si>
  <si>
    <t>Hollow 30.30.1,8</t>
  </si>
  <si>
    <r>
      <t>M</t>
    </r>
    <r>
      <rPr>
        <vertAlign val="superscript"/>
        <sz val="11"/>
        <color theme="1"/>
        <rFont val="Arial Narrow"/>
        <family val="2"/>
      </rPr>
      <t>2</t>
    </r>
  </si>
  <si>
    <t>Kunci lemari</t>
  </si>
  <si>
    <t>Rolling Door</t>
  </si>
  <si>
    <t>Hollow Stainless Steel 15.15.1</t>
  </si>
  <si>
    <t>Hollow Stainless 25.25.2</t>
  </si>
  <si>
    <t>Stainless Steel Channel 25.25.3</t>
  </si>
  <si>
    <t>Hollow Stainless Steel 30.30.2</t>
  </si>
  <si>
    <t>Hollow Stainless 20.20.2</t>
  </si>
  <si>
    <t>Hollow Stainless 40.40.1,2</t>
  </si>
  <si>
    <t>Plat Stainless, t=1mm</t>
  </si>
  <si>
    <t>Set</t>
  </si>
  <si>
    <t>Saklar Triple</t>
  </si>
  <si>
    <t>(K3) Pemasangan 1 buah titik api</t>
  </si>
  <si>
    <t>Pipa listrik/ conduit 5/8"</t>
  </si>
  <si>
    <t>Plat Aluminium uk.240.120.1,2</t>
  </si>
  <si>
    <t>A.4.2.1.18a</t>
  </si>
  <si>
    <t>Pemasangan 1 m' talang datar aluminium t=1,2 Mm lebar 90 cm</t>
  </si>
  <si>
    <t>Plat Aluminium t=1,2 Mm</t>
  </si>
  <si>
    <t>Material bekas bongkaran</t>
  </si>
  <si>
    <t>Multiplek 9mm</t>
  </si>
  <si>
    <t>VOL.</t>
  </si>
  <si>
    <t>SAT.</t>
  </si>
  <si>
    <t>TAHUN 2023</t>
  </si>
  <si>
    <t>REKAPITULASI</t>
  </si>
  <si>
    <t>A.2.2.1.13.</t>
  </si>
  <si>
    <t>1 M3 Membongkar beton bertulang dan membersihkan</t>
  </si>
  <si>
    <t>Total =</t>
  </si>
  <si>
    <t>I</t>
  </si>
  <si>
    <t>II</t>
  </si>
  <si>
    <t>A.4.1.1.4</t>
  </si>
  <si>
    <t>A.4.4.1.26</t>
  </si>
  <si>
    <t>1 M2 Bekisting untuk Tangga</t>
  </si>
  <si>
    <t>Kayu  Kelas III</t>
  </si>
  <si>
    <t>Paku biasa 1/2" - 1"</t>
  </si>
  <si>
    <t>Balok kayu kls III</t>
  </si>
  <si>
    <t>Plywood tbl 9 mm</t>
  </si>
  <si>
    <t>Dolken kayu dia 8-10cm pjg 4 m</t>
  </si>
  <si>
    <t>A.4.4.1.24</t>
  </si>
  <si>
    <t>1 M2 Bekisting untuk Lantai</t>
  </si>
  <si>
    <t>Balok kayu kelas III</t>
  </si>
  <si>
    <r>
      <t>M</t>
    </r>
    <r>
      <rPr>
        <vertAlign val="superscript"/>
        <sz val="11"/>
        <color theme="1"/>
        <rFont val="Arial Narrow"/>
        <family val="2"/>
      </rPr>
      <t>3</t>
    </r>
  </si>
  <si>
    <t xml:space="preserve">STR </t>
  </si>
  <si>
    <t>POS</t>
  </si>
  <si>
    <t>Ø</t>
  </si>
  <si>
    <t>Length</t>
  </si>
  <si>
    <t>Nos</t>
  </si>
  <si>
    <t>TOTAL LENG METER</t>
  </si>
  <si>
    <t>mm</t>
  </si>
  <si>
    <t>(m)</t>
  </si>
  <si>
    <t>(Each)</t>
  </si>
  <si>
    <t>PLAT BETON</t>
  </si>
  <si>
    <t>TOTAL LENGH (m)</t>
  </si>
  <si>
    <t>:</t>
  </si>
  <si>
    <t>UNIT WEIGHT (m)</t>
  </si>
  <si>
    <t>WEIGHT (Kg)</t>
  </si>
  <si>
    <t>TOTAL WEIGHT</t>
  </si>
  <si>
    <t>III</t>
  </si>
  <si>
    <t>Roll</t>
  </si>
  <si>
    <t>Pekerjaan Cat tembok</t>
  </si>
  <si>
    <t>Jilid</t>
  </si>
  <si>
    <t>TOTAL PEKERJAAN I………………..</t>
  </si>
  <si>
    <t>TOTAL PEKERJAAN III………………..</t>
  </si>
  <si>
    <t>TOTAL PEKERJAAN IV………………..</t>
  </si>
  <si>
    <t>V</t>
  </si>
  <si>
    <t>TOTAL PEKERJAAN V………………..</t>
  </si>
  <si>
    <t>Medan,                             2023</t>
  </si>
  <si>
    <t>Batu bata kualitas lokal</t>
  </si>
  <si>
    <t>Batu bata kualitas mesin</t>
  </si>
  <si>
    <t>Tahun 2022</t>
  </si>
  <si>
    <t>Tahun 2023</t>
  </si>
  <si>
    <t>Perkiraan kenaikan 11%</t>
  </si>
  <si>
    <t>Pagu</t>
  </si>
  <si>
    <t>Semen portland @40 KG, (dengan kualitas SNI)</t>
  </si>
  <si>
    <t>Semen Putih, (Semen warna)</t>
  </si>
  <si>
    <t>Batu pecah 2-3 Cm</t>
  </si>
  <si>
    <t>Penutup Atap Canopy Depan</t>
  </si>
  <si>
    <t>Besi Hollow Stainless, 50.50.1,2 Mm, panjang 6 M</t>
  </si>
  <si>
    <t>Btng</t>
  </si>
  <si>
    <t>Besi Hollow Stainless, 50.50.1,2 Mm, panjang 1 M</t>
  </si>
  <si>
    <r>
      <t>(K3) Pemasangan 1 m</t>
    </r>
    <r>
      <rPr>
        <b/>
        <vertAlign val="superscript"/>
        <sz val="10"/>
        <color rgb="FF7030A0"/>
        <rFont val="Arial Narrow"/>
        <family val="2"/>
      </rPr>
      <t>2</t>
    </r>
    <r>
      <rPr>
        <b/>
        <sz val="10"/>
        <color rgb="FF7030A0"/>
        <rFont val="Arial Narrow"/>
        <family val="2"/>
      </rPr>
      <t xml:space="preserve"> atap pelana rangka hollow stainless 50.50.1,2 Mm</t>
    </r>
  </si>
  <si>
    <t xml:space="preserve">  hollow stainless 50.50.1,2 Mm</t>
  </si>
  <si>
    <t>Kawat Las</t>
  </si>
  <si>
    <t xml:space="preserve">  Kawat las</t>
  </si>
  <si>
    <t xml:space="preserve">  Mesin las</t>
  </si>
  <si>
    <t>HARGA PEMAKAIAN ALAT</t>
  </si>
  <si>
    <t>Hitung 5a</t>
  </si>
  <si>
    <t>Membongkar 1m2 Pintu Besi</t>
  </si>
  <si>
    <t>Pekerjaan Tirai/ paranet</t>
  </si>
  <si>
    <t>Bahan+Upah</t>
  </si>
  <si>
    <t>a. Tirai/ paranet bahan polyetilen nylon 75%</t>
  </si>
  <si>
    <t>paranet bahan polyetilen nylon 75% (P=1 M, L=1 M) dgn list+ring</t>
  </si>
  <si>
    <t>Kawat Stainless dia 4 Mm</t>
  </si>
  <si>
    <t>c. Kawat Stainless dia.4Mm,untuk rell buka/ tutup paranet</t>
  </si>
  <si>
    <t>Kabel Sling baja, dia 4 Mm Galvanis</t>
  </si>
  <si>
    <t>b. Kabel sling baja dia 4 Mm, penggerak buka/ tutup paranet</t>
  </si>
  <si>
    <t>1 M3 Membongkar dinding dan membersihkan (turunan anl. 1.4)</t>
  </si>
  <si>
    <t>A.2.2.1.13.a</t>
  </si>
  <si>
    <t>A.4.4.2.4</t>
  </si>
  <si>
    <t>1 M2 Plesteran 1 Pc : 4 Ps, tebal 15 Mm</t>
  </si>
  <si>
    <t>A.4.4.2.27</t>
  </si>
  <si>
    <t>1 M2 Pemasangan Acian</t>
  </si>
  <si>
    <t>PEKERJAAN PONDASI</t>
  </si>
  <si>
    <t>A.3.2.1.6.</t>
  </si>
  <si>
    <t>1 M³ Pasang pondasi batu belah campuran, 1 Pc : 3 Ps.</t>
  </si>
  <si>
    <t>Batu Belah</t>
  </si>
  <si>
    <r>
      <t>M</t>
    </r>
    <r>
      <rPr>
        <vertAlign val="superscript"/>
        <sz val="10"/>
        <rFont val="Arial Narrow"/>
        <family val="2"/>
      </rPr>
      <t>3</t>
    </r>
  </si>
  <si>
    <t>Semen porland</t>
  </si>
  <si>
    <t>Pasir Pasang</t>
  </si>
  <si>
    <t>BESI SLOOF PADA KAMAR MANDI</t>
  </si>
  <si>
    <t>SLOOF</t>
  </si>
  <si>
    <t>BESI KOLOM PRAKTIS PADA KAMAR MANDI</t>
  </si>
  <si>
    <t>KOLOM PRAKTIS</t>
  </si>
  <si>
    <t>VI</t>
  </si>
  <si>
    <t>BESI RING BALOK PADA KAMAR MANDI</t>
  </si>
  <si>
    <t>RING BALOK</t>
  </si>
  <si>
    <t>A.4.4.1.9</t>
  </si>
  <si>
    <r>
      <t>Pemasangan 1 m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dinding bata merah 1/2 batu bata 1PC : 4PP</t>
    </r>
  </si>
  <si>
    <t>A. 4.4.3.54</t>
  </si>
  <si>
    <t xml:space="preserve">  Lantai keramik 25x25 cm</t>
  </si>
  <si>
    <t>Keramik 25x25 Cm</t>
  </si>
  <si>
    <r>
      <t>Pemasangan 1 m</t>
    </r>
    <r>
      <rPr>
        <b/>
        <vertAlign val="superscript"/>
        <sz val="10"/>
        <color rgb="FF7030A0"/>
        <rFont val="Arial Narrow"/>
        <family val="2"/>
      </rPr>
      <t>2</t>
    </r>
    <r>
      <rPr>
        <b/>
        <sz val="10"/>
        <color rgb="FF7030A0"/>
        <rFont val="Arial Narrow"/>
        <family val="2"/>
      </rPr>
      <t xml:space="preserve"> lantai ubin keramik ukuran 25cm x 25cm</t>
    </r>
  </si>
  <si>
    <t>A. 4.4.3.54c</t>
  </si>
  <si>
    <r>
      <t>Pemasangan 1 m</t>
    </r>
    <r>
      <rPr>
        <b/>
        <vertAlign val="superscript"/>
        <sz val="10"/>
        <color rgb="FF7030A0"/>
        <rFont val="Arial Narrow"/>
        <family val="2"/>
      </rPr>
      <t>2</t>
    </r>
    <r>
      <rPr>
        <b/>
        <sz val="10"/>
        <color rgb="FF7030A0"/>
        <rFont val="Arial Narrow"/>
        <family val="2"/>
      </rPr>
      <t xml:space="preserve"> lantai ubin keramik ukuran 25cm x 40cm</t>
    </r>
  </si>
  <si>
    <t xml:space="preserve">  Lantai keramik 25x40 cm</t>
  </si>
  <si>
    <t>Keramik 25x40 Cm</t>
  </si>
  <si>
    <r>
      <t>(K3) Pemasangan 1 m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atap pelana rangka atap baja ringan profil C75</t>
    </r>
  </si>
  <si>
    <t>Lampu LED 8 Watt</t>
  </si>
  <si>
    <t>Lampu LED 15 Watt</t>
  </si>
  <si>
    <t>Bak Mandi Fiber 80 Liter</t>
  </si>
  <si>
    <t>Pipa PVC 0,5" Tipe AW (Putih)</t>
  </si>
  <si>
    <t>Pipa PVC 4" Tipe AW  (Putih)</t>
  </si>
  <si>
    <t>A.5.1.1 30.a</t>
  </si>
  <si>
    <t xml:space="preserve">  Pemasangan 1 m’ pipa PVC tipe AW diameter 0,5”</t>
  </si>
  <si>
    <t xml:space="preserve">  Pipa PVC 0,5"</t>
  </si>
  <si>
    <t xml:space="preserve">  Pemasangan 1 m’ pipa PVC tipe AW diameter 3”</t>
  </si>
  <si>
    <t xml:space="preserve">  Pipa PVC 3"</t>
  </si>
  <si>
    <t>Pipa PVC 3" Tipe AW  (Putih)</t>
  </si>
  <si>
    <t>Taksir Sptk.T.</t>
  </si>
  <si>
    <t xml:space="preserve">  Pemasangan 1 Bh Septicktank (uk. 1,5x2, dalam 2 Meter), atau kapasitas 6 M3</t>
  </si>
  <si>
    <t xml:space="preserve">  UPAH dan BAHAN</t>
  </si>
  <si>
    <t>Pek. Galian</t>
  </si>
  <si>
    <t>Pas. Bata 1:2</t>
  </si>
  <si>
    <t>Pek. Plasteran bagian dalam</t>
  </si>
  <si>
    <t>Pek. Bekisting Penutup</t>
  </si>
  <si>
    <t>Pek. Besi Penutup (besi dia 10 mm # 15 cm)</t>
  </si>
  <si>
    <t>Pek. Beton Penutup</t>
  </si>
  <si>
    <t>Kode Anl.</t>
  </si>
  <si>
    <t>Pemasangan Pipa hawa (besi 1,5")</t>
  </si>
  <si>
    <t xml:space="preserve">  Overhead &amp; Profit (sdh terhitung dlm tiap item pemasangan)</t>
  </si>
  <si>
    <t xml:space="preserve">  Jumlah (A)</t>
  </si>
  <si>
    <t>JUMLAH Upah dan Bahan</t>
  </si>
  <si>
    <t>A.5.1.1 5</t>
  </si>
  <si>
    <t>(K3) Pemasangan 1 buah wastafel</t>
  </si>
  <si>
    <t xml:space="preserve">  Wastafel</t>
  </si>
  <si>
    <t xml:space="preserve">  Semen Portland</t>
  </si>
  <si>
    <t xml:space="preserve">  Pasir Pasang</t>
  </si>
  <si>
    <t xml:space="preserve">Washtafel (Lengkap) Standart </t>
  </si>
  <si>
    <t>Kloset Jongkok</t>
  </si>
  <si>
    <t xml:space="preserve">  (K3) Pemasangan 1 buah closet jongkok/ monoblock</t>
  </si>
  <si>
    <t xml:space="preserve">  Closet jongkok</t>
  </si>
  <si>
    <t>A.5.1.1.14</t>
  </si>
  <si>
    <t xml:space="preserve">  (K3) Pemasangan 1 buah Floor Drain</t>
  </si>
  <si>
    <t>A.5.1.1.1</t>
  </si>
  <si>
    <t>Floor drain</t>
  </si>
  <si>
    <t>Floor Drain Stainless</t>
  </si>
  <si>
    <t>Pintu Aluminium uk.70x200 Cm</t>
  </si>
  <si>
    <t>Grendel</t>
  </si>
  <si>
    <t>Profil aluminium</t>
  </si>
  <si>
    <t>Sekrup fixer</t>
  </si>
  <si>
    <t>A.4.2.1.11.</t>
  </si>
  <si>
    <t xml:space="preserve"> Pemasangan 1 m kusen pintu aluminium</t>
  </si>
  <si>
    <t xml:space="preserve">  Profil aluminium</t>
  </si>
  <si>
    <t xml:space="preserve">  Skrup Fixer</t>
  </si>
  <si>
    <t xml:space="preserve">  Sealant</t>
  </si>
  <si>
    <t>BESI PLAT LANTAI BETON GUDANG PENYIMPANAN</t>
  </si>
  <si>
    <t>BESI TANGGA GUDANG PENYIMPANAN</t>
  </si>
  <si>
    <t>B.20x60</t>
  </si>
  <si>
    <t>BESI BALOK, LANTAI 2 GUDANG PENYIMPANAN</t>
  </si>
  <si>
    <t>B.20x40</t>
  </si>
  <si>
    <t>B.20x30</t>
  </si>
  <si>
    <t>B.15x60</t>
  </si>
  <si>
    <t>B.15x40</t>
  </si>
  <si>
    <t>PEMBESIAN BALOK</t>
  </si>
  <si>
    <t>BESI PERKUATAN KOLOM GUDANG PENYIMPANAN</t>
  </si>
  <si>
    <t>VOLUME BESI KOLOM</t>
  </si>
  <si>
    <t>Kolom K3</t>
  </si>
  <si>
    <t>Kolom K4</t>
  </si>
  <si>
    <t>Kolom K1</t>
  </si>
  <si>
    <t>Kolom K2</t>
  </si>
  <si>
    <t>paranet bahan polyetilen nylon 75% (1 Roll, P=100 M, L=3 M)</t>
  </si>
  <si>
    <t>paranet bahan polyetilen nylon 75% (P=1 M, L=3 M)</t>
  </si>
  <si>
    <t>Insect Net, Mesh 50</t>
  </si>
  <si>
    <t>Insect Net, Mesh 50 (1 Roll, P=100 M, L=3 M)</t>
  </si>
  <si>
    <t>Insect Net, Mesh 50 (P=1 M, L=3 M)</t>
  </si>
  <si>
    <t>Insect Net, Mesh 50 (P=1 M, L=1 M) dgn list+ring</t>
  </si>
  <si>
    <t>Taksir.Ps1</t>
  </si>
  <si>
    <t>Dengan pendekatan A.5.1.1 21</t>
  </si>
  <si>
    <t>Pemasangan 1 m’ pipa pipa stainless steel diameter 1”</t>
  </si>
  <si>
    <t>Perlengkapan</t>
  </si>
  <si>
    <t>Pipa stainless steel 1”</t>
  </si>
  <si>
    <r>
      <t xml:space="preserve">Pipa Stainless Steel </t>
    </r>
    <r>
      <rPr>
        <sz val="11"/>
        <color theme="1"/>
        <rFont val="Calibri"/>
        <family val="2"/>
      </rPr>
      <t>Ø</t>
    </r>
    <r>
      <rPr>
        <sz val="11"/>
        <color theme="1"/>
        <rFont val="Arial Narrow"/>
        <family val="2"/>
      </rPr>
      <t xml:space="preserve"> 1/2" tebal 1 Mm, panjang 6 M</t>
    </r>
  </si>
  <si>
    <r>
      <t xml:space="preserve">Pipa Stainless Steel </t>
    </r>
    <r>
      <rPr>
        <sz val="11"/>
        <color theme="1"/>
        <rFont val="Calibri"/>
        <family val="2"/>
      </rPr>
      <t>Ø</t>
    </r>
    <r>
      <rPr>
        <sz val="11"/>
        <color theme="1"/>
        <rFont val="Arial Narrow"/>
        <family val="2"/>
      </rPr>
      <t xml:space="preserve"> 1/2" tebal 1 Mm</t>
    </r>
  </si>
  <si>
    <r>
      <t xml:space="preserve">Pipa Stainless Steel </t>
    </r>
    <r>
      <rPr>
        <sz val="11"/>
        <color theme="1"/>
        <rFont val="Calibri"/>
        <family val="2"/>
      </rPr>
      <t>Ø</t>
    </r>
    <r>
      <rPr>
        <sz val="11"/>
        <color theme="1"/>
        <rFont val="Arial Narrow"/>
        <family val="2"/>
      </rPr>
      <t xml:space="preserve"> 1" tebal 1 Mm, panjang 6 M</t>
    </r>
  </si>
  <si>
    <r>
      <t xml:space="preserve">Pipa Stainless Steel </t>
    </r>
    <r>
      <rPr>
        <sz val="11"/>
        <color theme="1"/>
        <rFont val="Calibri"/>
        <family val="2"/>
      </rPr>
      <t>Ø</t>
    </r>
    <r>
      <rPr>
        <sz val="11"/>
        <color theme="1"/>
        <rFont val="Arial Narrow"/>
        <family val="2"/>
      </rPr>
      <t xml:space="preserve"> 1" tebal 1 Mm</t>
    </r>
  </si>
  <si>
    <r>
      <t xml:space="preserve">Pipa Stainless Steel </t>
    </r>
    <r>
      <rPr>
        <sz val="11"/>
        <color theme="1"/>
        <rFont val="Calibri"/>
        <family val="2"/>
      </rPr>
      <t>Ø</t>
    </r>
    <r>
      <rPr>
        <sz val="11"/>
        <color theme="1"/>
        <rFont val="Arial Narrow"/>
        <family val="2"/>
      </rPr>
      <t xml:space="preserve"> 2,5" tebal 1 Mm, panjang 6 M</t>
    </r>
  </si>
  <si>
    <r>
      <t xml:space="preserve">Pipa Stainless Steel </t>
    </r>
    <r>
      <rPr>
        <sz val="11"/>
        <color theme="1"/>
        <rFont val="Calibri"/>
        <family val="2"/>
      </rPr>
      <t>Ø</t>
    </r>
    <r>
      <rPr>
        <sz val="11"/>
        <color theme="1"/>
        <rFont val="Arial Narrow"/>
        <family val="2"/>
      </rPr>
      <t xml:space="preserve"> 2,5" tebal 1 Mm</t>
    </r>
  </si>
  <si>
    <t>Kawat las</t>
  </si>
  <si>
    <t>Taksir.Ps05</t>
  </si>
  <si>
    <t>Pemasangan 1 m’ pipa pipa stainless steel diameter 1/2”</t>
  </si>
  <si>
    <t>Pipa stainless steel 1/2”</t>
  </si>
  <si>
    <t>Taksir.Ps25</t>
  </si>
  <si>
    <t>Pemasangan 1 m’ pipa pipa stainless steel diameter 2,5”</t>
  </si>
  <si>
    <t>Pipa stainless steel 2,5”</t>
  </si>
  <si>
    <t>Dengan pendekatan A.5.1.1 22</t>
  </si>
  <si>
    <t>Taksir.2.isn</t>
  </si>
  <si>
    <r>
      <t xml:space="preserve">  1m2 Pasang dinding</t>
    </r>
    <r>
      <rPr>
        <b/>
        <i/>
        <sz val="10"/>
        <color rgb="FFFF0000"/>
        <rFont val="Arial Narrow"/>
        <family val="2"/>
      </rPr>
      <t xml:space="preserve"> insect net mesh 50</t>
    </r>
  </si>
  <si>
    <t>Besi plat strip tebal 3 Mm, panjang 6 M, lebar 3 Cm</t>
  </si>
  <si>
    <t>Besi plat strip tebal 3 Mm, lebar 3 Cm</t>
  </si>
  <si>
    <t>Hitung 2.bp</t>
  </si>
  <si>
    <t>Pemasangan 1 m' list besi plat strip uk.L=3 Cm, tbl=3 Mm</t>
  </si>
  <si>
    <t>besi plat strip uk.L=3 Cm, tbl=3 Mm</t>
  </si>
  <si>
    <t xml:space="preserve">  1m2 Pasang screen atap paranet bahan polyetilen nylon 75%</t>
  </si>
  <si>
    <t>paranet bhn.polyetilen nylon 75%</t>
  </si>
  <si>
    <t>Taksir.2.pnt</t>
  </si>
  <si>
    <t>TOTAL PEKERJAAN VI………………..</t>
  </si>
  <si>
    <t>TOTAL PEKERJAAN VII………………..</t>
  </si>
  <si>
    <t>VII</t>
  </si>
  <si>
    <t>FOTO DOKUMENTASI DAN PELAPORAN</t>
  </si>
  <si>
    <t>Foto Dokumentasi</t>
  </si>
  <si>
    <t>Pelaporan/ progress</t>
  </si>
  <si>
    <t>Taksir.2.pc</t>
  </si>
  <si>
    <t xml:space="preserve">  1m2 Pasang Atap Polycarbonat gelombang Tbl. 0,8 mm</t>
  </si>
  <si>
    <t xml:space="preserve">  Atap Polycarbonat Tbl. 0,8 mm</t>
  </si>
  <si>
    <t>A.4.2.1.22.01.hs</t>
  </si>
  <si>
    <t>BESI TANGGA</t>
  </si>
  <si>
    <t>PEKERJAAN REHAB ATAP</t>
  </si>
  <si>
    <t>PEKERJAAN REHAB DINDING</t>
  </si>
  <si>
    <t>Hitung 5.nm</t>
  </si>
  <si>
    <t>Membongkar 1m2 net mesh rangka besi strip</t>
  </si>
  <si>
    <t>Bongkar net mesh rangka plat strip pd dinding</t>
  </si>
  <si>
    <t>Hitung 2.bp1</t>
  </si>
  <si>
    <t>Pasang sekrup 1 m' list besi plat strip uk.L=3 Cm, tbl=3 Mm</t>
  </si>
  <si>
    <t>Psng sekrup,rangka plat strip ex.pengunci Insect Net Mesh 50</t>
  </si>
  <si>
    <t>`</t>
  </si>
  <si>
    <t>Tirai Paranet</t>
  </si>
  <si>
    <t>Kabel Sling baja, dia 4 Mm</t>
  </si>
  <si>
    <t>Kawat stainless steel, dia 4 Mm</t>
  </si>
  <si>
    <t>A.2.2.1.13.b</t>
  </si>
  <si>
    <t>1 M2 Membongkar lantai lama dan membersihkan (turunan Anl I.5)</t>
  </si>
  <si>
    <t>Pek. Bongkar lantai</t>
  </si>
  <si>
    <t>IV</t>
  </si>
  <si>
    <t>PEKERJAAN KOLAM CELUP KAKI DISINFECTAN</t>
  </si>
  <si>
    <t>Bongkar lantai lama untuk tempat kolam</t>
  </si>
  <si>
    <t>Galian tanah biasa</t>
  </si>
  <si>
    <t>Pek. Pasang dinding kolam, pas.1/2 bt</t>
  </si>
  <si>
    <t>Pasang dinding kolam</t>
  </si>
  <si>
    <t>Pekerjaan cor lantai kolam, t=10 CM</t>
  </si>
  <si>
    <t>Cor lantai kolam</t>
  </si>
  <si>
    <t>Pek.pasang keramik 40x40 Cm unpolish,utk dinding &amp; lantai</t>
  </si>
  <si>
    <t>Keramik lantai kolam</t>
  </si>
  <si>
    <t>Keramik dinding kolam</t>
  </si>
  <si>
    <t>Pekerjaan pipa PVC 3" tipe AW penguras</t>
  </si>
  <si>
    <t>Pemasangan Keran stainless 1/2"</t>
  </si>
  <si>
    <t>Pekerjaan Pemasangan stop keran 3" pada pipa penguras</t>
  </si>
  <si>
    <t>Keramik lantai ruang peralihan</t>
  </si>
  <si>
    <t>Stop Kran Air PVC 3"</t>
  </si>
  <si>
    <t>A.5.1.1.19.c</t>
  </si>
  <si>
    <t>Pemasangan 1 buah stop kran PVC diameter 3"</t>
  </si>
  <si>
    <t>Stop Kran air PVC 3"</t>
  </si>
  <si>
    <t>Rangka Canopy Depan dan belakang</t>
  </si>
  <si>
    <t>Pek.pembongkaran penutup atap kanopy depan dan belakang</t>
  </si>
  <si>
    <t>Pek. Rangka atap baja ringan c75 untuk kanopi</t>
  </si>
  <si>
    <t>Pek.atap kanopi Polycarbonate Gelombang t=0.8 Mm</t>
  </si>
  <si>
    <t>Pek.pembongkaran penutup atap Screen House A</t>
  </si>
  <si>
    <t>Penutup Atap Screen House A</t>
  </si>
  <si>
    <t>Pek.atap Screen House A,Polycarbonate Gelombang t=0.8 Mm</t>
  </si>
  <si>
    <t>Pekerjaan Cat minyak untuk besi</t>
  </si>
  <si>
    <t>PEKERJAAN INSTALASI AIR (PIPA, SPRINKLER, &amp; POMPA)</t>
  </si>
  <si>
    <r>
      <t>Sprinkler</t>
    </r>
    <r>
      <rPr>
        <sz val="12"/>
        <color theme="1"/>
        <rFont val="Arial Narrow"/>
        <family val="2"/>
      </rPr>
      <t xml:space="preserve"> </t>
    </r>
    <r>
      <rPr>
        <sz val="10"/>
        <color theme="1"/>
        <rFont val="Arial Narrow"/>
        <family val="2"/>
      </rPr>
      <t>(Tipe rotate spray nozle 360⁰) dgn mekanisme pegas,bahan besi copper</t>
    </r>
  </si>
  <si>
    <t>Pompa pendorong air otomatis (booster pump Sanyo). Daya 200 - 300 Watts, daya pancar max.25 M, kapasitas 50 L/menit</t>
  </si>
  <si>
    <t>Pompa pendorong air (booster pump Grundfos, stainless, otomatis, ex.Inggris). Daya 500-670 Watts, dorong max.32 M, kapasitas max.50 L/Menit, Inlet 1", Outlet 1"</t>
  </si>
  <si>
    <t>Pompa pendorong air (booster pump Grundfos, stainless, tdk otomatis, ex.Inggris). Daya 1200 Watts, hisap max. 4 M, dorong max.46 M,total head 28 M, kapasitas max.13 M3/jam</t>
  </si>
  <si>
    <t>A.5.1.1.19.sp</t>
  </si>
  <si>
    <t>Sprinkler</t>
  </si>
  <si>
    <t>Pipa PVC 1/2" untuk sprinkler</t>
  </si>
  <si>
    <t>A.5.1.1.19.bp</t>
  </si>
  <si>
    <t>Pompa dorong</t>
  </si>
  <si>
    <r>
      <t>Pemasangan 1 bh sprinkler</t>
    </r>
    <r>
      <rPr>
        <b/>
        <sz val="8"/>
        <color rgb="FFFF0000"/>
        <rFont val="Arial Narrow"/>
        <family val="2"/>
      </rPr>
      <t xml:space="preserve"> (Tipe rotate spray nozle 360⁰) dgn mekanisme pegas,bhn.besi copper</t>
    </r>
  </si>
  <si>
    <r>
      <t xml:space="preserve">Psg.1 bh booster pump </t>
    </r>
    <r>
      <rPr>
        <b/>
        <sz val="8"/>
        <color rgb="FFFF0000"/>
        <rFont val="Arial Narrow"/>
        <family val="2"/>
      </rPr>
      <t>Daya 500-670 Watts, dorong max.32 M kap.max.50 L/Menit, Inlet 1", Outlet 1"</t>
    </r>
  </si>
  <si>
    <t>Pemasangan pompa (booster pump) Daya 500-670 Watts,</t>
  </si>
  <si>
    <t>daya dorong max.32 M kap.max.50 L/Menit, Inlet 1", Outlet 1"</t>
  </si>
  <si>
    <t>Pengecatan dinding dengan cat tembok</t>
  </si>
  <si>
    <t>Pengecatan besi dengan cat minyak</t>
  </si>
  <si>
    <t>Pengecatan kolom besi WF profil I-150.73.6.7---&gt;&gt;&gt;</t>
  </si>
  <si>
    <t>Pengecatan rangka dinding ver.bawah besi profil L-50.50.5---&gt;&gt;&gt;</t>
  </si>
  <si>
    <t>pengecatan pengunci ver. insect net bawah besi plat strip 30.3---&gt;&gt;&gt;</t>
  </si>
  <si>
    <t>Pengecatan rangka dinding hor.bawah besi profil L-50.50.5---&gt;&gt;&gt;</t>
  </si>
  <si>
    <t>Besi penyangga pipa penggulung paranet 2X(U.65.42.5,5)---&gt;&gt;&gt;</t>
  </si>
  <si>
    <t>Besi penyangga pipa sprinkler L.30.30.3---&gt;&gt;&gt;</t>
  </si>
  <si>
    <t>Besi utk bantu perkuatan penyangga pipa sprinkler L.30.30.3---&gt;&gt;&gt;</t>
  </si>
  <si>
    <t>Besi Rangka Kuda-kuda Profil I.100.50.4,6.6,8.2,7---&gt;&gt;&gt;</t>
  </si>
  <si>
    <t>Besi Rangka Kuda-kuda Profil U.80.45.5---&gt;&gt;&gt;</t>
  </si>
  <si>
    <t>Besi Rangka Kuda-kuda Profil U.65.42.5,5---&gt;&gt;&gt;</t>
  </si>
  <si>
    <t>Besi sokong Kuda-kuda Profil L.50.50.5---&gt;&gt;&gt;</t>
  </si>
  <si>
    <t>Besi Gording Profil U.65.42.5,5---&gt;&gt;&gt;</t>
  </si>
  <si>
    <t>pengecatan pengunci hor. insect net bawah besi plat strip 30.3---&gt;&gt;&gt;</t>
  </si>
  <si>
    <t>pengecatan pengunci hor. insect net atas besi plat strip 30.3---&gt;&gt;&gt;</t>
  </si>
  <si>
    <t>Besi Profil</t>
  </si>
  <si>
    <t>A.4.2.1.3.</t>
  </si>
  <si>
    <t>Tukang las konstruksi</t>
  </si>
  <si>
    <t>Besi baja IWF</t>
  </si>
  <si>
    <t>Solar</t>
  </si>
  <si>
    <t>Pelumas</t>
  </si>
  <si>
    <t>1 Kg Pemasangan rangka kuda-kuda baja profil WF, UNP, CNP,..</t>
  </si>
  <si>
    <t>A.4.2.1.2. +</t>
  </si>
  <si>
    <t>1 Kg Pemasangan dan perakitan rangka kuda-kuda baja profil WF, UNP, CNP,..</t>
  </si>
  <si>
    <t>Pek.menyisip gording U.65.42.5</t>
  </si>
  <si>
    <t>Total panjang =</t>
  </si>
  <si>
    <t>Total Berat =</t>
  </si>
  <si>
    <t>Berat perbatang besi U.65.42.5.6000 = 41 Kg</t>
  </si>
  <si>
    <t>Besi baja profil</t>
  </si>
  <si>
    <t>Atap (10) Gelombang Polycarbonate transparant, 2000x950, t=0.8 Mm</t>
  </si>
  <si>
    <t>Nok ramping, bahan bitumen, t=0.3 Cm, uk. 106x19,4 Cm</t>
  </si>
  <si>
    <t>1 M' Pasang Nok ramping, bahan bitumen, t=0.3 Cm, uk. 106x19,4 Cm</t>
  </si>
  <si>
    <t>Nok ramping,bhn bitumen, t=0.3</t>
  </si>
  <si>
    <t>A.4.5.2.36.nob</t>
  </si>
  <si>
    <t>Pek.Nok ramping, bahan bitumen, t=0.3 Cm, uk. 106x19,4 Cm</t>
  </si>
  <si>
    <t>Nok ramping, bahan bitumen, t=0.3 Cm</t>
  </si>
  <si>
    <t>A.5.1.1.20.a</t>
  </si>
  <si>
    <t>1 M' Memasang pipa galvanis diameter 1/2"</t>
  </si>
  <si>
    <t>Pipa galvanis 1/2"</t>
  </si>
  <si>
    <r>
      <t xml:space="preserve">Pipa Galvanis </t>
    </r>
    <r>
      <rPr>
        <sz val="11"/>
        <color theme="1"/>
        <rFont val="Calibri"/>
        <family val="2"/>
      </rPr>
      <t>Ø</t>
    </r>
    <r>
      <rPr>
        <sz val="11"/>
        <color theme="1"/>
        <rFont val="Arial Narrow"/>
        <family val="2"/>
      </rPr>
      <t xml:space="preserve"> 1/2" panjang 6 M</t>
    </r>
  </si>
  <si>
    <r>
      <t xml:space="preserve">Pipa Galvanis </t>
    </r>
    <r>
      <rPr>
        <sz val="11"/>
        <color theme="1"/>
        <rFont val="Calibri"/>
        <family val="2"/>
      </rPr>
      <t>Ø</t>
    </r>
    <r>
      <rPr>
        <sz val="11"/>
        <color theme="1"/>
        <rFont val="Arial Narrow"/>
        <family val="2"/>
      </rPr>
      <t xml:space="preserve"> 1/2"</t>
    </r>
  </si>
  <si>
    <r>
      <t xml:space="preserve">Pipa Galvanis </t>
    </r>
    <r>
      <rPr>
        <sz val="11"/>
        <color theme="1"/>
        <rFont val="Calibri"/>
        <family val="2"/>
      </rPr>
      <t>Ø</t>
    </r>
    <r>
      <rPr>
        <sz val="11"/>
        <color theme="1"/>
        <rFont val="Arial Narrow"/>
        <family val="2"/>
      </rPr>
      <t xml:space="preserve"> 1" panjang 6 M</t>
    </r>
  </si>
  <si>
    <r>
      <t xml:space="preserve">Pipa Galvanis </t>
    </r>
    <r>
      <rPr>
        <sz val="11"/>
        <color theme="1"/>
        <rFont val="Calibri"/>
        <family val="2"/>
      </rPr>
      <t>Ø</t>
    </r>
    <r>
      <rPr>
        <sz val="11"/>
        <color theme="1"/>
        <rFont val="Arial Narrow"/>
        <family val="2"/>
      </rPr>
      <t xml:space="preserve"> 1"</t>
    </r>
  </si>
  <si>
    <t>A.5.1.1.21.</t>
  </si>
  <si>
    <t>1 M' Memasang pipa galvanis diameter 1"</t>
  </si>
  <si>
    <t>Pipa galvanis 1"</t>
  </si>
  <si>
    <t>Pekerjaan pipa GIP 1/2" tipe inlet</t>
  </si>
  <si>
    <t>Pekerjaan pipa GIP 1/2" tipe outlet</t>
  </si>
  <si>
    <t>Pek.List Plank bahan papan semen, l=20 Cm</t>
  </si>
  <si>
    <t>Pengecatan list plank dengan cat minyak (2 sisi/ luar-dalam)</t>
  </si>
  <si>
    <t>A.4.6.1.21.ps</t>
  </si>
  <si>
    <t>1 M' Pasang list plank bahan papan semen uk. L= 20 Cm</t>
  </si>
  <si>
    <t>List plank papan semen</t>
  </si>
  <si>
    <t>List Plank bahan papan semen, l=20 Cm, p=4 M</t>
  </si>
  <si>
    <t>List Plank bahan papan semen, l=20 Cm</t>
  </si>
  <si>
    <t>------------&gt;</t>
  </si>
  <si>
    <t>Papan Nama Proyek</t>
  </si>
  <si>
    <t>Peralatan P3K</t>
  </si>
  <si>
    <t xml:space="preserve">Topi pelindung (Safety Helmet) </t>
  </si>
  <si>
    <t>Sarung tangan (Safety Gloves)</t>
  </si>
  <si>
    <t xml:space="preserve">Sepatu keselamatan (Safety Shoes, rubber safety shoes and toe cap) </t>
  </si>
  <si>
    <t>Rompi Keselamatan ( Safety Vest )</t>
  </si>
  <si>
    <t>Asuransi Ketenagakerjaan</t>
  </si>
  <si>
    <t>Rambu pekerjaan sementara</t>
  </si>
  <si>
    <t>Membuat tambahan ikatan angin dengan rangka besi L.80.80.6</t>
  </si>
  <si>
    <t>Pek.Membuat tambahan ikatan angin L.80.80.6</t>
  </si>
  <si>
    <t>Berat perbatang besi L.80.80.6.6000 = 43,9 Kg</t>
  </si>
  <si>
    <t>Berat per Meter : 43,9/6 =</t>
  </si>
  <si>
    <t>Pek. Mengikat gording dengan kuda-kuda dengan sambungan baut</t>
  </si>
  <si>
    <t>Titik</t>
  </si>
  <si>
    <t>Pek. Tupai-tupai plat besi, t=5 Mm untuk menopang gording+las</t>
  </si>
  <si>
    <t>Pek. Plat besi, t=6 Mm sambungan ikatan angin dengan baut</t>
  </si>
  <si>
    <r>
      <t>TERBILANG :</t>
    </r>
    <r>
      <rPr>
        <b/>
        <i/>
        <sz val="12"/>
        <color theme="1"/>
        <rFont val="Candara"/>
        <family val="2"/>
      </rPr>
      <t xml:space="preserve"> Lima Ratus Tujuh Puluh Empat Juta Dua Ratus Sembilan Puluh Ribu Rupiah</t>
    </r>
  </si>
  <si>
    <t>Diperiksa Oleh,</t>
  </si>
  <si>
    <t>Kepala Seksi Pelayanan Teknis</t>
  </si>
  <si>
    <t>Konsultan Perencana</t>
  </si>
  <si>
    <t>Selaku Pejabat Pelaksana Teknis Kegiatan</t>
  </si>
  <si>
    <t>CV. BIRAMOS CONSULTANT</t>
  </si>
  <si>
    <t>Tuti Sudarniati Genaly, S.P.</t>
  </si>
  <si>
    <t>Ir. L. Aratua Sitanggang</t>
  </si>
  <si>
    <t>NIP. 19730112 200901 2002</t>
  </si>
  <si>
    <t>Kepala Dinas Ketahanan Pangan,</t>
  </si>
  <si>
    <t>Tanaman Pangan dan Hortikultura</t>
  </si>
  <si>
    <t>Selaku Pengguna Anggaran</t>
  </si>
  <si>
    <t>Rajali S.Sos,. M.SP.</t>
  </si>
  <si>
    <t>NIP. 19670208 198611 1001</t>
  </si>
  <si>
    <t>Belanja Jasa Konsultasi Perencanaan Rekayasa - Jasa Nasihat dan Konsultasi</t>
  </si>
  <si>
    <t>UPT Benih Induk Hortikultura Kutagadung (Dana DAK)</t>
  </si>
  <si>
    <t>Jasa Rekayasa Konstruksi Renovasi Screen House A</t>
  </si>
  <si>
    <t>Dibuat Oleh</t>
  </si>
  <si>
    <t>Disetujui Oleh:</t>
  </si>
  <si>
    <r>
      <t xml:space="preserve">Pek. pembongkaran </t>
    </r>
    <r>
      <rPr>
        <b/>
        <i/>
        <sz val="11"/>
        <rFont val="Arial Narrow"/>
        <family val="2"/>
      </rPr>
      <t>Insect Net</t>
    </r>
    <r>
      <rPr>
        <sz val="11"/>
        <rFont val="Arial Narrow"/>
        <family val="2"/>
      </rPr>
      <t xml:space="preserve"> rangka besi pd dinding</t>
    </r>
  </si>
  <si>
    <r>
      <t>M</t>
    </r>
    <r>
      <rPr>
        <vertAlign val="superscript"/>
        <sz val="11"/>
        <rFont val="Arial Narrow"/>
        <family val="2"/>
      </rPr>
      <t>2</t>
    </r>
  </si>
  <si>
    <r>
      <t xml:space="preserve">Pasang </t>
    </r>
    <r>
      <rPr>
        <b/>
        <i/>
        <sz val="11"/>
        <rFont val="Arial Narrow"/>
        <family val="2"/>
      </rPr>
      <t>Insect Net Mesh 50</t>
    </r>
  </si>
  <si>
    <r>
      <t xml:space="preserve">Psng sekrup,rangka plat strip ex.pengunci </t>
    </r>
    <r>
      <rPr>
        <b/>
        <i/>
        <sz val="10"/>
        <rFont val="Arial Narrow"/>
        <family val="2"/>
      </rPr>
      <t>Insect Net Mesh 50</t>
    </r>
  </si>
  <si>
    <r>
      <t>M</t>
    </r>
    <r>
      <rPr>
        <vertAlign val="superscript"/>
        <sz val="11"/>
        <rFont val="Arial Narrow"/>
        <family val="2"/>
      </rPr>
      <t>1</t>
    </r>
  </si>
  <si>
    <r>
      <t xml:space="preserve">PEKERJAAN KOLAM CELUP KAKI </t>
    </r>
    <r>
      <rPr>
        <b/>
        <i/>
        <sz val="11"/>
        <rFont val="Arial Narrow"/>
        <family val="2"/>
      </rPr>
      <t>DISINFECTAN</t>
    </r>
  </si>
  <si>
    <r>
      <t>M</t>
    </r>
    <r>
      <rPr>
        <vertAlign val="superscript"/>
        <sz val="11"/>
        <rFont val="Arial Narrow"/>
        <family val="2"/>
      </rPr>
      <t>3</t>
    </r>
  </si>
  <si>
    <r>
      <t xml:space="preserve">Penggantian pipa 1/2" GIP </t>
    </r>
    <r>
      <rPr>
        <b/>
        <i/>
        <sz val="11"/>
        <rFont val="Arial Narrow"/>
        <family val="2"/>
      </rPr>
      <t>(Galvanis Iron Pipe)</t>
    </r>
  </si>
  <si>
    <r>
      <t>Ganti Sprinkler (Tipe rotate spray nozle 360</t>
    </r>
    <r>
      <rPr>
        <sz val="10"/>
        <rFont val="Calibri"/>
        <family val="2"/>
      </rPr>
      <t>⁰</t>
    </r>
    <r>
      <rPr>
        <sz val="10"/>
        <rFont val="Arial Narrow"/>
        <family val="2"/>
      </rPr>
      <t>) dgn mekanisme pegas</t>
    </r>
  </si>
  <si>
    <r>
      <t>Pek. Pemasangan pipa 1" GIP utk</t>
    </r>
    <r>
      <rPr>
        <b/>
        <i/>
        <sz val="11"/>
        <rFont val="Arial Narrow"/>
        <family val="2"/>
      </rPr>
      <t xml:space="preserve"> inlet/ Outlet Booster Pump</t>
    </r>
  </si>
  <si>
    <r>
      <rPr>
        <i/>
        <sz val="11"/>
        <rFont val="Arial Narrow"/>
        <family val="2"/>
      </rPr>
      <t xml:space="preserve">Shop Drawing </t>
    </r>
    <r>
      <rPr>
        <sz val="11"/>
        <rFont val="Arial Narrow"/>
        <family val="2"/>
      </rPr>
      <t>(Gambar Kerja) dan</t>
    </r>
    <r>
      <rPr>
        <b/>
        <i/>
        <sz val="11"/>
        <rFont val="Arial Narrow"/>
        <family val="2"/>
      </rPr>
      <t xml:space="preserve"> Asbuilt Drawing</t>
    </r>
  </si>
  <si>
    <t>d. Pembongkaran Katrol eksisting,Penggantian+baut+pengelasan</t>
  </si>
  <si>
    <r>
      <t>M</t>
    </r>
    <r>
      <rPr>
        <b/>
        <vertAlign val="superscript"/>
        <sz val="11"/>
        <rFont val="Arial Narrow"/>
        <family val="2"/>
      </rPr>
      <t>2</t>
    </r>
  </si>
  <si>
    <r>
      <t xml:space="preserve">Pengecatan besi ventilasi </t>
    </r>
    <r>
      <rPr>
        <sz val="9"/>
        <rFont val="Calibri"/>
        <family val="2"/>
      </rPr>
      <t>Ø8 Mm</t>
    </r>
    <r>
      <rPr>
        <i/>
        <sz val="9"/>
        <rFont val="Arial Narrow"/>
        <family val="2"/>
      </rPr>
      <t>---&gt;&gt;&gt;</t>
    </r>
  </si>
  <si>
    <r>
      <t xml:space="preserve">Pipa besi </t>
    </r>
    <r>
      <rPr>
        <sz val="8"/>
        <rFont val="Calibri"/>
        <family val="2"/>
      </rPr>
      <t>Ø</t>
    </r>
    <r>
      <rPr>
        <i/>
        <sz val="8"/>
        <rFont val="Arial Narrow"/>
        <family val="2"/>
      </rPr>
      <t>1" Penggulung paranet---&gt;&gt;&gt;</t>
    </r>
  </si>
  <si>
    <r>
      <t>M</t>
    </r>
    <r>
      <rPr>
        <b/>
        <vertAlign val="superscript"/>
        <sz val="11"/>
        <rFont val="Arial Narrow"/>
        <family val="2"/>
      </rPr>
      <t>1</t>
    </r>
  </si>
  <si>
    <t>RENCANA ANGGARAN BIAYA (RAB)</t>
  </si>
  <si>
    <r>
      <t xml:space="preserve">Perbaikan Pintu Geser/ </t>
    </r>
    <r>
      <rPr>
        <b/>
        <i/>
        <sz val="11"/>
        <rFont val="Arial Narrow"/>
        <family val="2"/>
      </rPr>
      <t>slide+</t>
    </r>
    <r>
      <rPr>
        <sz val="11"/>
        <rFont val="Arial Narrow"/>
        <family val="2"/>
      </rPr>
      <t>perbaikan rel dan roda</t>
    </r>
  </si>
  <si>
    <t>Tenaga Ahli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</si>
</sst>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.000_);_(* \(#,##0.000\);_(* &quot;-&quot;_);_(@_)"/>
    <numFmt numFmtId="168" formatCode="_(* #,##0.00_);_(* \(#,##0.00\);_(* &quot;-&quot;_);_(@_)"/>
    <numFmt numFmtId="169" formatCode="_(* #,##0.0000_);_(* \(#,##0.0000\);_(* &quot;-&quot;_);_(@_)"/>
    <numFmt numFmtId="170" formatCode="_-* #,##0.00_-;\-* #,##0.00_-;_-* &quot;-&quot;_-;_-@_-"/>
    <numFmt numFmtId="171" formatCode="_-* #,##0.000_-;\-* #,##0.000_-;_-* &quot;-&quot;_-;_-@_-"/>
    <numFmt numFmtId="172" formatCode="#,##0.000"/>
  </numFmts>
  <fonts count="8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1"/>
      <color theme="1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0"/>
      <name val="Arial Narrow"/>
      <family val="2"/>
    </font>
    <font>
      <sz val="11"/>
      <color theme="1"/>
      <name val="Candara"/>
      <family val="2"/>
    </font>
    <font>
      <b/>
      <sz val="18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ndara"/>
      <family val="2"/>
    </font>
    <font>
      <b/>
      <i/>
      <sz val="12"/>
      <color theme="1"/>
      <name val="Candara"/>
      <family val="2"/>
    </font>
    <font>
      <b/>
      <sz val="12"/>
      <name val="Candara"/>
      <family val="2"/>
    </font>
    <font>
      <sz val="12"/>
      <name val="Candara"/>
      <family val="2"/>
    </font>
    <font>
      <u/>
      <sz val="12"/>
      <name val="Candara"/>
      <family val="2"/>
    </font>
    <font>
      <b/>
      <sz val="11"/>
      <color theme="1"/>
      <name val="Candara"/>
      <family val="2"/>
    </font>
    <font>
      <b/>
      <sz val="9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vertAlign val="superscript"/>
      <sz val="10"/>
      <color rgb="FFFF0000"/>
      <name val="Arial Narrow"/>
      <family val="2"/>
    </font>
    <font>
      <b/>
      <sz val="10"/>
      <color rgb="FF00B050"/>
      <name val="Arial Narrow"/>
      <family val="2"/>
    </font>
    <font>
      <b/>
      <vertAlign val="superscript"/>
      <sz val="10"/>
      <color rgb="FF00B050"/>
      <name val="Arial Narrow"/>
      <family val="2"/>
    </font>
    <font>
      <sz val="10"/>
      <color rgb="FF00B050"/>
      <name val="Arial Narrow"/>
      <family val="2"/>
    </font>
    <font>
      <vertAlign val="superscript"/>
      <sz val="10"/>
      <color rgb="FF00B050"/>
      <name val="Arial Narrow"/>
      <family val="2"/>
    </font>
    <font>
      <b/>
      <sz val="10"/>
      <color rgb="FF7030A0"/>
      <name val="Arial Narrow"/>
      <family val="2"/>
    </font>
    <font>
      <b/>
      <vertAlign val="superscript"/>
      <sz val="10"/>
      <color rgb="FF7030A0"/>
      <name val="Arial Narrow"/>
      <family val="2"/>
    </font>
    <font>
      <sz val="10"/>
      <color rgb="FF7030A0"/>
      <name val="Arial Narrow"/>
      <family val="2"/>
    </font>
    <font>
      <b/>
      <sz val="9"/>
      <color rgb="FFFF0000"/>
      <name val="Arial Narrow"/>
      <family val="2"/>
    </font>
    <font>
      <b/>
      <vertAlign val="superscript"/>
      <sz val="10"/>
      <color rgb="FFFF0000"/>
      <name val="Arial Narrow"/>
      <family val="2"/>
    </font>
    <font>
      <sz val="10"/>
      <color theme="1"/>
      <name val="Arial Narrow"/>
      <family val="2"/>
    </font>
    <font>
      <sz val="11"/>
      <name val="Arial Narrow"/>
      <family val="2"/>
    </font>
    <font>
      <b/>
      <sz val="10"/>
      <color rgb="FFFF00FF"/>
      <name val="Arial Narrow"/>
      <family val="2"/>
    </font>
    <font>
      <sz val="10"/>
      <color rgb="FFFF00FF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  <charset val="1"/>
    </font>
    <font>
      <sz val="10"/>
      <color rgb="FFD60093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10"/>
      <color rgb="FFFF33CC"/>
      <name val="Arial"/>
      <family val="2"/>
    </font>
    <font>
      <sz val="10"/>
      <color rgb="FF00B050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b/>
      <sz val="26"/>
      <color theme="1"/>
      <name val="Candara"/>
      <family val="2"/>
    </font>
    <font>
      <b/>
      <sz val="9"/>
      <color rgb="FF7030A0"/>
      <name val="Arial Narrow"/>
      <family val="2"/>
    </font>
    <font>
      <sz val="11"/>
      <color rgb="FFFF0000"/>
      <name val="Arial Narrow"/>
      <family val="2"/>
    </font>
    <font>
      <b/>
      <u/>
      <sz val="10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sz val="10"/>
      <color rgb="FF0070C0"/>
      <name val="Arial"/>
      <family val="2"/>
    </font>
    <font>
      <sz val="10"/>
      <color rgb="FFFF99CC"/>
      <name val="Arial"/>
      <family val="2"/>
    </font>
    <font>
      <sz val="10"/>
      <color rgb="FFCC00CC"/>
      <name val="Arial"/>
      <family val="2"/>
    </font>
    <font>
      <sz val="11"/>
      <color theme="1"/>
      <name val="Calibri"/>
      <family val="2"/>
    </font>
    <font>
      <b/>
      <i/>
      <sz val="10"/>
      <color rgb="FFFF0000"/>
      <name val="Arial Narrow"/>
      <family val="2"/>
    </font>
    <font>
      <sz val="12"/>
      <color theme="1"/>
      <name val="Arial Narrow"/>
      <family val="2"/>
    </font>
    <font>
      <b/>
      <sz val="8"/>
      <color rgb="FFFF0000"/>
      <name val="Arial Narrow"/>
      <family val="2"/>
    </font>
    <font>
      <sz val="9"/>
      <color theme="1"/>
      <name val="Arial Narrow"/>
      <family val="2"/>
    </font>
    <font>
      <sz val="11"/>
      <color rgb="FFC00000"/>
      <name val="Candara"/>
      <family val="2"/>
    </font>
    <font>
      <b/>
      <sz val="12"/>
      <color rgb="FFC00000"/>
      <name val="Candara"/>
      <family val="2"/>
    </font>
    <font>
      <b/>
      <sz val="14"/>
      <color rgb="FFC00000"/>
      <name val="Candara"/>
      <family val="2"/>
    </font>
    <font>
      <b/>
      <sz val="16"/>
      <color rgb="FFC00000"/>
      <name val="Candara"/>
      <family val="2"/>
    </font>
    <font>
      <b/>
      <u/>
      <sz val="12"/>
      <name val="Candara"/>
      <family val="2"/>
    </font>
    <font>
      <b/>
      <u/>
      <sz val="11"/>
      <color theme="1"/>
      <name val="Candara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b/>
      <sz val="14"/>
      <name val="Calisto MT"/>
      <family val="1"/>
    </font>
    <font>
      <b/>
      <sz val="14"/>
      <name val="Candara"/>
      <family val="2"/>
    </font>
    <font>
      <b/>
      <sz val="12"/>
      <name val="Calisto MT"/>
      <family val="1"/>
    </font>
    <font>
      <b/>
      <sz val="11"/>
      <name val="Candara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vertAlign val="superscript"/>
      <sz val="11"/>
      <name val="Arial Narrow"/>
      <family val="2"/>
    </font>
    <font>
      <b/>
      <i/>
      <sz val="10"/>
      <name val="Arial Narrow"/>
      <family val="2"/>
    </font>
    <font>
      <sz val="10"/>
      <name val="Calibri"/>
      <family val="2"/>
    </font>
    <font>
      <i/>
      <sz val="11"/>
      <name val="Arial Narrow"/>
      <family val="2"/>
    </font>
    <font>
      <b/>
      <sz val="16"/>
      <name val="Arial Narrow"/>
      <family val="2"/>
    </font>
    <font>
      <b/>
      <vertAlign val="superscript"/>
      <sz val="11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sz val="9"/>
      <name val="Calibri"/>
      <family val="2"/>
    </font>
    <font>
      <i/>
      <sz val="8"/>
      <name val="Arial Narrow"/>
      <family val="2"/>
    </font>
    <font>
      <sz val="8"/>
      <name val="Calibri"/>
      <family val="2"/>
    </font>
    <font>
      <b/>
      <sz val="16"/>
      <name val="Calisto MT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</fills>
  <borders count="1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auto="1"/>
      </right>
      <top style="medium">
        <color indexed="64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slantDashDot">
        <color indexed="64"/>
      </top>
      <bottom style="hair">
        <color indexed="64"/>
      </bottom>
      <diagonal/>
    </border>
    <border>
      <left/>
      <right style="double">
        <color indexed="64"/>
      </right>
      <top style="slantDashDot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slantDashDot">
        <color indexed="64"/>
      </bottom>
      <diagonal/>
    </border>
    <border>
      <left/>
      <right/>
      <top style="hair">
        <color indexed="64"/>
      </top>
      <bottom style="slantDashDot">
        <color indexed="64"/>
      </bottom>
      <diagonal/>
    </border>
    <border>
      <left style="thin">
        <color indexed="64"/>
      </left>
      <right/>
      <top style="thick">
        <color indexed="64"/>
      </top>
      <bottom style="slantDashDot">
        <color indexed="64"/>
      </bottom>
      <diagonal/>
    </border>
    <border>
      <left/>
      <right/>
      <top style="thick">
        <color indexed="64"/>
      </top>
      <bottom style="slantDashDot">
        <color indexed="64"/>
      </bottom>
      <diagonal/>
    </border>
    <border>
      <left/>
      <right style="thin">
        <color indexed="64"/>
      </right>
      <top style="thick">
        <color indexed="64"/>
      </top>
      <bottom style="slantDashDot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slantDashDot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slantDashDot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0" fontId="35" fillId="0" borderId="0"/>
    <xf numFmtId="166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</cellStyleXfs>
  <cellXfs count="893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167" fontId="5" fillId="0" borderId="15" xfId="1" applyNumberFormat="1" applyFont="1" applyBorder="1" applyAlignment="1">
      <alignment vertical="center"/>
    </xf>
    <xf numFmtId="168" fontId="5" fillId="0" borderId="15" xfId="1" applyNumberFormat="1" applyFont="1" applyBorder="1" applyAlignment="1">
      <alignment vertical="center"/>
    </xf>
    <xf numFmtId="168" fontId="5" fillId="0" borderId="16" xfId="1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67" fontId="5" fillId="0" borderId="17" xfId="1" applyNumberFormat="1" applyFont="1" applyBorder="1" applyAlignment="1">
      <alignment vertical="center"/>
    </xf>
    <xf numFmtId="168" fontId="5" fillId="0" borderId="17" xfId="1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167" fontId="5" fillId="0" borderId="19" xfId="1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68" fontId="5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167" fontId="5" fillId="0" borderId="26" xfId="1" applyNumberFormat="1" applyFont="1" applyBorder="1" applyAlignment="1">
      <alignment vertical="center"/>
    </xf>
    <xf numFmtId="168" fontId="5" fillId="0" borderId="26" xfId="1" applyNumberFormat="1" applyFont="1" applyBorder="1" applyAlignment="1">
      <alignment vertical="center"/>
    </xf>
    <xf numFmtId="168" fontId="5" fillId="0" borderId="27" xfId="1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167" fontId="5" fillId="0" borderId="29" xfId="1" applyNumberFormat="1" applyFont="1" applyBorder="1" applyAlignment="1">
      <alignment vertical="center"/>
    </xf>
    <xf numFmtId="168" fontId="5" fillId="0" borderId="29" xfId="1" applyNumberFormat="1" applyFont="1" applyBorder="1" applyAlignment="1">
      <alignment vertical="center"/>
    </xf>
    <xf numFmtId="168" fontId="5" fillId="0" borderId="30" xfId="1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66" fontId="4" fillId="0" borderId="9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66" fontId="4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166" fontId="4" fillId="0" borderId="39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167" fontId="5" fillId="0" borderId="42" xfId="1" applyNumberFormat="1" applyFont="1" applyBorder="1" applyAlignment="1">
      <alignment vertical="center"/>
    </xf>
    <xf numFmtId="168" fontId="5" fillId="0" borderId="42" xfId="1" applyNumberFormat="1" applyFont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169" fontId="5" fillId="0" borderId="15" xfId="1" applyNumberFormat="1" applyFont="1" applyBorder="1" applyAlignment="1">
      <alignment vertical="center"/>
    </xf>
    <xf numFmtId="169" fontId="5" fillId="0" borderId="19" xfId="1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8" fontId="5" fillId="0" borderId="83" xfId="1" applyNumberFormat="1" applyFont="1" applyBorder="1" applyAlignment="1">
      <alignment vertical="center"/>
    </xf>
    <xf numFmtId="171" fontId="5" fillId="0" borderId="26" xfId="1" applyNumberFormat="1" applyFont="1" applyBorder="1" applyAlignment="1">
      <alignment horizontal="right" vertical="center"/>
    </xf>
    <xf numFmtId="171" fontId="5" fillId="0" borderId="17" xfId="1" applyNumberFormat="1" applyFont="1" applyBorder="1" applyAlignment="1">
      <alignment horizontal="right" vertical="center"/>
    </xf>
    <xf numFmtId="171" fontId="5" fillId="0" borderId="15" xfId="1" applyNumberFormat="1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vertical="center"/>
    </xf>
    <xf numFmtId="0" fontId="5" fillId="0" borderId="86" xfId="0" applyFont="1" applyBorder="1" applyAlignment="1">
      <alignment horizontal="center" vertical="center"/>
    </xf>
    <xf numFmtId="171" fontId="5" fillId="0" borderId="86" xfId="1" applyNumberFormat="1" applyFont="1" applyBorder="1" applyAlignment="1">
      <alignment horizontal="right" vertical="center"/>
    </xf>
    <xf numFmtId="168" fontId="5" fillId="0" borderId="86" xfId="1" applyNumberFormat="1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12" fillId="0" borderId="6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44" fontId="12" fillId="0" borderId="58" xfId="1" applyNumberFormat="1" applyFont="1" applyBorder="1" applyAlignment="1">
      <alignment vertical="center"/>
    </xf>
    <xf numFmtId="0" fontId="12" fillId="0" borderId="59" xfId="0" applyFont="1" applyBorder="1" applyAlignment="1">
      <alignment vertical="center"/>
    </xf>
    <xf numFmtId="0" fontId="12" fillId="0" borderId="57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44" fontId="12" fillId="0" borderId="60" xfId="0" applyNumberFormat="1" applyFont="1" applyBorder="1" applyAlignment="1">
      <alignment vertical="center"/>
    </xf>
    <xf numFmtId="170" fontId="9" fillId="0" borderId="0" xfId="1" applyNumberFormat="1" applyFont="1"/>
    <xf numFmtId="0" fontId="12" fillId="0" borderId="61" xfId="0" applyFont="1" applyBorder="1" applyAlignment="1">
      <alignment vertical="center"/>
    </xf>
    <xf numFmtId="9" fontId="12" fillId="0" borderId="33" xfId="0" applyNumberFormat="1" applyFont="1" applyBorder="1" applyAlignment="1">
      <alignment vertical="center"/>
    </xf>
    <xf numFmtId="44" fontId="12" fillId="0" borderId="58" xfId="0" applyNumberFormat="1" applyFont="1" applyBorder="1" applyAlignment="1">
      <alignment vertical="center"/>
    </xf>
    <xf numFmtId="0" fontId="12" fillId="0" borderId="62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12" fillId="0" borderId="68" xfId="0" applyFont="1" applyBorder="1" applyAlignment="1">
      <alignment vertical="center"/>
    </xf>
    <xf numFmtId="44" fontId="12" fillId="0" borderId="65" xfId="0" applyNumberFormat="1" applyFont="1" applyBorder="1" applyAlignment="1">
      <alignment vertical="center"/>
    </xf>
    <xf numFmtId="170" fontId="9" fillId="0" borderId="0" xfId="0" applyNumberFormat="1" applyFont="1"/>
    <xf numFmtId="0" fontId="12" fillId="0" borderId="81" xfId="0" applyFont="1" applyBorder="1" applyAlignment="1">
      <alignment vertical="center"/>
    </xf>
    <xf numFmtId="0" fontId="12" fillId="0" borderId="82" xfId="0" applyFont="1" applyBorder="1" applyAlignment="1">
      <alignment vertical="center"/>
    </xf>
    <xf numFmtId="44" fontId="12" fillId="0" borderId="89" xfId="0" applyNumberFormat="1" applyFont="1" applyBorder="1" applyAlignment="1">
      <alignment vertical="center"/>
    </xf>
    <xf numFmtId="44" fontId="9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2" fontId="9" fillId="0" borderId="0" xfId="0" applyNumberFormat="1" applyFo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2" fillId="0" borderId="84" xfId="0" applyFont="1" applyBorder="1"/>
    <xf numFmtId="0" fontId="2" fillId="0" borderId="21" xfId="0" applyFont="1" applyBorder="1"/>
    <xf numFmtId="0" fontId="3" fillId="0" borderId="59" xfId="0" applyFont="1" applyBorder="1" applyAlignment="1">
      <alignment horizontal="center" vertical="center"/>
    </xf>
    <xf numFmtId="0" fontId="3" fillId="0" borderId="57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64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170" fontId="2" fillId="0" borderId="58" xfId="1" applyNumberFormat="1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71" xfId="0" applyFont="1" applyBorder="1" applyAlignment="1">
      <alignment vertical="center"/>
    </xf>
    <xf numFmtId="0" fontId="2" fillId="0" borderId="71" xfId="0" applyFont="1" applyBorder="1" applyAlignment="1">
      <alignment horizontal="center" vertical="center"/>
    </xf>
    <xf numFmtId="170" fontId="2" fillId="0" borderId="72" xfId="1" applyNumberFormat="1" applyFont="1" applyBorder="1" applyAlignment="1">
      <alignment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0" fontId="2" fillId="0" borderId="44" xfId="1" applyNumberFormat="1" applyFont="1" applyBorder="1" applyAlignment="1">
      <alignment vertical="center"/>
    </xf>
    <xf numFmtId="170" fontId="2" fillId="0" borderId="58" xfId="1" applyNumberFormat="1" applyFont="1" applyFill="1" applyBorder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170" fontId="2" fillId="0" borderId="75" xfId="1" applyNumberFormat="1" applyFont="1" applyBorder="1" applyAlignment="1">
      <alignment vertical="center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vertical="center"/>
    </xf>
    <xf numFmtId="0" fontId="4" fillId="0" borderId="93" xfId="0" applyFont="1" applyBorder="1" applyAlignment="1">
      <alignment vertical="center"/>
    </xf>
    <xf numFmtId="0" fontId="4" fillId="0" borderId="94" xfId="0" applyFont="1" applyBorder="1" applyAlignment="1">
      <alignment vertical="center"/>
    </xf>
    <xf numFmtId="166" fontId="4" fillId="0" borderId="95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 wrapText="1"/>
    </xf>
    <xf numFmtId="0" fontId="17" fillId="2" borderId="47" xfId="0" applyFont="1" applyFill="1" applyBorder="1" applyAlignment="1">
      <alignment horizontal="center" vertical="center" wrapText="1"/>
    </xf>
    <xf numFmtId="0" fontId="17" fillId="2" borderId="48" xfId="0" applyFont="1" applyFill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166" fontId="4" fillId="0" borderId="6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/>
    <xf numFmtId="168" fontId="5" fillId="0" borderId="97" xfId="1" applyNumberFormat="1" applyFont="1" applyBorder="1" applyAlignment="1">
      <alignment vertical="center"/>
    </xf>
    <xf numFmtId="169" fontId="5" fillId="0" borderId="17" xfId="1" applyNumberFormat="1" applyFont="1" applyBorder="1" applyAlignment="1">
      <alignment vertical="center"/>
    </xf>
    <xf numFmtId="168" fontId="5" fillId="0" borderId="98" xfId="1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167" fontId="20" fillId="0" borderId="15" xfId="1" applyNumberFormat="1" applyFont="1" applyBorder="1" applyAlignment="1">
      <alignment vertical="center"/>
    </xf>
    <xf numFmtId="168" fontId="20" fillId="0" borderId="15" xfId="1" applyNumberFormat="1" applyFont="1" applyBorder="1" applyAlignment="1">
      <alignment vertical="center"/>
    </xf>
    <xf numFmtId="168" fontId="20" fillId="0" borderId="16" xfId="1" applyNumberFormat="1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167" fontId="20" fillId="0" borderId="17" xfId="1" applyNumberFormat="1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167" fontId="20" fillId="0" borderId="19" xfId="1" applyNumberFormat="1" applyFont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168" fontId="20" fillId="0" borderId="6" xfId="0" applyNumberFormat="1" applyFont="1" applyBorder="1" applyAlignment="1">
      <alignment vertical="center"/>
    </xf>
    <xf numFmtId="0" fontId="19" fillId="0" borderId="7" xfId="0" applyFont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vertical="center"/>
    </xf>
    <xf numFmtId="0" fontId="20" fillId="0" borderId="26" xfId="0" applyFont="1" applyBorder="1" applyAlignment="1">
      <alignment horizontal="center" vertical="center"/>
    </xf>
    <xf numFmtId="171" fontId="20" fillId="0" borderId="26" xfId="1" applyNumberFormat="1" applyFont="1" applyBorder="1" applyAlignment="1">
      <alignment horizontal="right" vertical="center"/>
    </xf>
    <xf numFmtId="168" fontId="20" fillId="0" borderId="26" xfId="1" applyNumberFormat="1" applyFont="1" applyBorder="1" applyAlignment="1">
      <alignment vertical="center"/>
    </xf>
    <xf numFmtId="168" fontId="20" fillId="0" borderId="27" xfId="1" applyNumberFormat="1" applyFont="1" applyBorder="1" applyAlignment="1">
      <alignment vertical="center"/>
    </xf>
    <xf numFmtId="0" fontId="20" fillId="0" borderId="49" xfId="0" applyFont="1" applyBorder="1" applyAlignment="1">
      <alignment horizontal="center" vertical="center"/>
    </xf>
    <xf numFmtId="171" fontId="20" fillId="0" borderId="17" xfId="1" applyNumberFormat="1" applyFont="1" applyBorder="1" applyAlignment="1">
      <alignment horizontal="right" vertical="center"/>
    </xf>
    <xf numFmtId="168" fontId="20" fillId="0" borderId="17" xfId="1" applyNumberFormat="1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0" fontId="20" fillId="0" borderId="29" xfId="0" applyFont="1" applyBorder="1" applyAlignment="1">
      <alignment horizontal="center" vertical="center"/>
    </xf>
    <xf numFmtId="167" fontId="20" fillId="0" borderId="29" xfId="1" applyNumberFormat="1" applyFont="1" applyBorder="1" applyAlignment="1">
      <alignment vertical="center"/>
    </xf>
    <xf numFmtId="168" fontId="20" fillId="0" borderId="29" xfId="1" applyNumberFormat="1" applyFont="1" applyBorder="1" applyAlignment="1">
      <alignment vertical="center"/>
    </xf>
    <xf numFmtId="168" fontId="20" fillId="0" borderId="30" xfId="1" applyNumberFormat="1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166" fontId="19" fillId="0" borderId="9" xfId="0" applyNumberFormat="1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166" fontId="19" fillId="0" borderId="34" xfId="0" applyNumberFormat="1" applyFont="1" applyBorder="1" applyAlignment="1">
      <alignment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166" fontId="19" fillId="0" borderId="39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167" fontId="24" fillId="0" borderId="15" xfId="1" applyNumberFormat="1" applyFont="1" applyBorder="1" applyAlignment="1">
      <alignment vertical="center"/>
    </xf>
    <xf numFmtId="168" fontId="24" fillId="0" borderId="15" xfId="1" applyNumberFormat="1" applyFont="1" applyBorder="1" applyAlignment="1">
      <alignment vertical="center"/>
    </xf>
    <xf numFmtId="168" fontId="24" fillId="0" borderId="16" xfId="1" applyNumberFormat="1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7" xfId="0" applyFont="1" applyBorder="1" applyAlignment="1">
      <alignment horizontal="center" vertical="center"/>
    </xf>
    <xf numFmtId="167" fontId="24" fillId="0" borderId="17" xfId="1" applyNumberFormat="1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0" fontId="24" fillId="0" borderId="19" xfId="0" applyFont="1" applyBorder="1" applyAlignment="1">
      <alignment horizontal="center" vertical="center"/>
    </xf>
    <xf numFmtId="167" fontId="24" fillId="0" borderId="19" xfId="1" applyNumberFormat="1" applyFont="1" applyBorder="1" applyAlignment="1">
      <alignment vertical="center"/>
    </xf>
    <xf numFmtId="0" fontId="24" fillId="0" borderId="4" xfId="0" applyFont="1" applyBorder="1" applyAlignment="1">
      <alignment horizontal="center" vertical="center"/>
    </xf>
    <xf numFmtId="0" fontId="24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168" fontId="24" fillId="0" borderId="6" xfId="0" applyNumberFormat="1" applyFont="1" applyBorder="1" applyAlignment="1">
      <alignment vertical="center"/>
    </xf>
    <xf numFmtId="0" fontId="22" fillId="0" borderId="7" xfId="0" applyFont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vertical="center"/>
    </xf>
    <xf numFmtId="0" fontId="24" fillId="0" borderId="26" xfId="0" applyFont="1" applyBorder="1" applyAlignment="1">
      <alignment horizontal="center" vertical="center"/>
    </xf>
    <xf numFmtId="167" fontId="24" fillId="0" borderId="26" xfId="1" applyNumberFormat="1" applyFont="1" applyBorder="1" applyAlignment="1">
      <alignment vertical="center"/>
    </xf>
    <xf numFmtId="168" fontId="24" fillId="0" borderId="26" xfId="1" applyNumberFormat="1" applyFont="1" applyBorder="1" applyAlignment="1">
      <alignment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vertical="center"/>
    </xf>
    <xf numFmtId="0" fontId="24" fillId="0" borderId="42" xfId="0" applyFont="1" applyBorder="1" applyAlignment="1">
      <alignment horizontal="center" vertical="center"/>
    </xf>
    <xf numFmtId="167" fontId="24" fillId="0" borderId="42" xfId="1" applyNumberFormat="1" applyFont="1" applyBorder="1" applyAlignment="1">
      <alignment vertical="center"/>
    </xf>
    <xf numFmtId="168" fontId="24" fillId="0" borderId="42" xfId="1" applyNumberFormat="1" applyFont="1" applyBorder="1" applyAlignment="1">
      <alignment vertical="center"/>
    </xf>
    <xf numFmtId="0" fontId="24" fillId="0" borderId="85" xfId="0" applyFont="1" applyBorder="1" applyAlignment="1">
      <alignment horizontal="center" vertical="center"/>
    </xf>
    <xf numFmtId="0" fontId="24" fillId="0" borderId="86" xfId="0" applyFont="1" applyBorder="1" applyAlignment="1">
      <alignment vertical="center"/>
    </xf>
    <xf numFmtId="0" fontId="24" fillId="0" borderId="86" xfId="0" applyFont="1" applyBorder="1" applyAlignment="1">
      <alignment horizontal="center" vertical="center"/>
    </xf>
    <xf numFmtId="171" fontId="24" fillId="0" borderId="86" xfId="1" applyNumberFormat="1" applyFont="1" applyBorder="1" applyAlignment="1">
      <alignment horizontal="right" vertical="center"/>
    </xf>
    <xf numFmtId="168" fontId="24" fillId="0" borderId="86" xfId="1" applyNumberFormat="1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vertical="center"/>
    </xf>
    <xf numFmtId="0" fontId="24" fillId="0" borderId="29" xfId="0" applyFont="1" applyBorder="1" applyAlignment="1">
      <alignment horizontal="center" vertical="center"/>
    </xf>
    <xf numFmtId="167" fontId="24" fillId="0" borderId="29" xfId="1" applyNumberFormat="1" applyFont="1" applyBorder="1" applyAlignment="1">
      <alignment vertical="center"/>
    </xf>
    <xf numFmtId="168" fontId="24" fillId="0" borderId="29" xfId="1" applyNumberFormat="1" applyFont="1" applyBorder="1" applyAlignment="1">
      <alignment vertical="center"/>
    </xf>
    <xf numFmtId="168" fontId="24" fillId="0" borderId="30" xfId="1" applyNumberFormat="1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166" fontId="22" fillId="0" borderId="9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166" fontId="22" fillId="0" borderId="34" xfId="0" applyNumberFormat="1" applyFont="1" applyBorder="1" applyAlignment="1">
      <alignment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166" fontId="22" fillId="0" borderId="39" xfId="0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vertical="center"/>
    </xf>
    <xf numFmtId="0" fontId="28" fillId="0" borderId="15" xfId="0" applyFont="1" applyBorder="1" applyAlignment="1">
      <alignment horizontal="center" vertical="center"/>
    </xf>
    <xf numFmtId="167" fontId="28" fillId="0" borderId="15" xfId="1" applyNumberFormat="1" applyFont="1" applyBorder="1" applyAlignment="1">
      <alignment vertical="center"/>
    </xf>
    <xf numFmtId="168" fontId="28" fillId="0" borderId="15" xfId="1" applyNumberFormat="1" applyFont="1" applyBorder="1" applyAlignment="1">
      <alignment vertical="center"/>
    </xf>
    <xf numFmtId="168" fontId="28" fillId="0" borderId="16" xfId="1" applyNumberFormat="1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17" xfId="0" applyFont="1" applyBorder="1" applyAlignment="1">
      <alignment horizontal="center" vertical="center"/>
    </xf>
    <xf numFmtId="167" fontId="28" fillId="0" borderId="17" xfId="1" applyNumberFormat="1" applyFont="1" applyBorder="1" applyAlignment="1">
      <alignment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vertical="center"/>
    </xf>
    <xf numFmtId="0" fontId="28" fillId="0" borderId="19" xfId="0" applyFont="1" applyBorder="1" applyAlignment="1">
      <alignment horizontal="center" vertical="center"/>
    </xf>
    <xf numFmtId="167" fontId="28" fillId="0" borderId="19" xfId="1" applyNumberFormat="1" applyFont="1" applyBorder="1" applyAlignment="1">
      <alignment vertical="center"/>
    </xf>
    <xf numFmtId="0" fontId="28" fillId="0" borderId="4" xfId="0" applyFont="1" applyBorder="1" applyAlignment="1">
      <alignment horizontal="center" vertical="center"/>
    </xf>
    <xf numFmtId="0" fontId="28" fillId="0" borderId="2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168" fontId="28" fillId="0" borderId="6" xfId="0" applyNumberFormat="1" applyFont="1" applyBorder="1" applyAlignment="1">
      <alignment vertical="center"/>
    </xf>
    <xf numFmtId="0" fontId="26" fillId="0" borderId="7" xfId="0" applyFont="1" applyBorder="1" applyAlignment="1">
      <alignment horizontal="center" vertical="center"/>
    </xf>
    <xf numFmtId="0" fontId="26" fillId="0" borderId="23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vertical="center"/>
    </xf>
    <xf numFmtId="0" fontId="28" fillId="0" borderId="26" xfId="0" applyFont="1" applyBorder="1" applyAlignment="1">
      <alignment horizontal="center" vertical="center"/>
    </xf>
    <xf numFmtId="167" fontId="28" fillId="0" borderId="26" xfId="1" applyNumberFormat="1" applyFont="1" applyBorder="1" applyAlignment="1">
      <alignment vertical="center"/>
    </xf>
    <xf numFmtId="168" fontId="28" fillId="0" borderId="26" xfId="1" applyNumberFormat="1" applyFont="1" applyBorder="1" applyAlignment="1">
      <alignment vertical="center"/>
    </xf>
    <xf numFmtId="0" fontId="28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vertical="center"/>
    </xf>
    <xf numFmtId="0" fontId="28" fillId="0" borderId="42" xfId="0" applyFont="1" applyBorder="1" applyAlignment="1">
      <alignment horizontal="center" vertical="center"/>
    </xf>
    <xf numFmtId="167" fontId="28" fillId="0" borderId="42" xfId="1" applyNumberFormat="1" applyFont="1" applyBorder="1" applyAlignment="1">
      <alignment vertical="center"/>
    </xf>
    <xf numFmtId="168" fontId="28" fillId="0" borderId="42" xfId="1" applyNumberFormat="1" applyFont="1" applyBorder="1" applyAlignment="1">
      <alignment vertical="center"/>
    </xf>
    <xf numFmtId="0" fontId="28" fillId="0" borderId="85" xfId="0" applyFont="1" applyBorder="1" applyAlignment="1">
      <alignment horizontal="center" vertical="center"/>
    </xf>
    <xf numFmtId="0" fontId="28" fillId="0" borderId="86" xfId="0" applyFont="1" applyBorder="1" applyAlignment="1">
      <alignment vertical="center"/>
    </xf>
    <xf numFmtId="0" fontId="28" fillId="0" borderId="86" xfId="0" applyFont="1" applyBorder="1" applyAlignment="1">
      <alignment horizontal="center" vertical="center"/>
    </xf>
    <xf numFmtId="171" fontId="28" fillId="0" borderId="86" xfId="1" applyNumberFormat="1" applyFont="1" applyBorder="1" applyAlignment="1">
      <alignment horizontal="right" vertical="center"/>
    </xf>
    <xf numFmtId="168" fontId="28" fillId="0" borderId="86" xfId="1" applyNumberFormat="1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vertical="center"/>
    </xf>
    <xf numFmtId="0" fontId="28" fillId="0" borderId="29" xfId="0" applyFont="1" applyBorder="1" applyAlignment="1">
      <alignment horizontal="center" vertical="center"/>
    </xf>
    <xf numFmtId="167" fontId="28" fillId="0" borderId="29" xfId="1" applyNumberFormat="1" applyFont="1" applyBorder="1" applyAlignment="1">
      <alignment vertical="center"/>
    </xf>
    <xf numFmtId="168" fontId="28" fillId="0" borderId="29" xfId="1" applyNumberFormat="1" applyFont="1" applyBorder="1" applyAlignment="1">
      <alignment vertical="center"/>
    </xf>
    <xf numFmtId="168" fontId="28" fillId="0" borderId="30" xfId="1" applyNumberFormat="1" applyFont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26" fillId="0" borderId="32" xfId="0" applyFont="1" applyBorder="1" applyAlignment="1">
      <alignment vertical="center"/>
    </xf>
    <xf numFmtId="166" fontId="26" fillId="0" borderId="9" xfId="0" applyNumberFormat="1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33" xfId="0" applyFont="1" applyBorder="1" applyAlignment="1">
      <alignment vertical="center"/>
    </xf>
    <xf numFmtId="166" fontId="26" fillId="0" borderId="34" xfId="0" applyNumberFormat="1" applyFont="1" applyBorder="1" applyAlignment="1">
      <alignment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vertical="center"/>
    </xf>
    <xf numFmtId="0" fontId="26" fillId="0" borderId="37" xfId="0" applyFont="1" applyBorder="1" applyAlignment="1">
      <alignment vertical="center"/>
    </xf>
    <xf numFmtId="0" fontId="26" fillId="0" borderId="38" xfId="0" applyFont="1" applyBorder="1" applyAlignment="1">
      <alignment vertical="center"/>
    </xf>
    <xf numFmtId="166" fontId="26" fillId="0" borderId="39" xfId="0" applyNumberFormat="1" applyFont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4" fontId="2" fillId="0" borderId="58" xfId="1" applyNumberFormat="1" applyFont="1" applyBorder="1" applyAlignment="1">
      <alignment vertical="center"/>
    </xf>
    <xf numFmtId="4" fontId="2" fillId="0" borderId="100" xfId="1" applyNumberFormat="1" applyFont="1" applyBorder="1" applyAlignment="1">
      <alignment vertical="center"/>
    </xf>
    <xf numFmtId="4" fontId="0" fillId="0" borderId="99" xfId="0" applyNumberFormat="1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171" fontId="20" fillId="0" borderId="15" xfId="1" applyNumberFormat="1" applyFont="1" applyBorder="1" applyAlignment="1">
      <alignment horizontal="right" vertical="center"/>
    </xf>
    <xf numFmtId="0" fontId="20" fillId="0" borderId="85" xfId="0" applyFont="1" applyBorder="1" applyAlignment="1">
      <alignment horizontal="center" vertical="center"/>
    </xf>
    <xf numFmtId="0" fontId="20" fillId="0" borderId="86" xfId="0" applyFont="1" applyBorder="1" applyAlignment="1">
      <alignment vertical="center"/>
    </xf>
    <xf numFmtId="0" fontId="20" fillId="0" borderId="86" xfId="0" applyFont="1" applyBorder="1" applyAlignment="1">
      <alignment horizontal="center" vertical="center"/>
    </xf>
    <xf numFmtId="171" fontId="20" fillId="0" borderId="86" xfId="1" applyNumberFormat="1" applyFont="1" applyBorder="1" applyAlignment="1">
      <alignment horizontal="right" vertical="center"/>
    </xf>
    <xf numFmtId="168" fontId="20" fillId="0" borderId="86" xfId="1" applyNumberFormat="1" applyFont="1" applyBorder="1" applyAlignment="1">
      <alignment vertical="center"/>
    </xf>
    <xf numFmtId="168" fontId="20" fillId="0" borderId="83" xfId="1" applyNumberFormat="1" applyFont="1" applyBorder="1" applyAlignment="1">
      <alignment vertical="center"/>
    </xf>
    <xf numFmtId="0" fontId="12" fillId="0" borderId="96" xfId="0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2" fillId="0" borderId="105" xfId="0" applyFont="1" applyBorder="1" applyAlignment="1">
      <alignment vertical="center"/>
    </xf>
    <xf numFmtId="44" fontId="12" fillId="0" borderId="75" xfId="1" applyNumberFormat="1" applyFont="1" applyBorder="1" applyAlignment="1">
      <alignment vertical="center"/>
    </xf>
    <xf numFmtId="167" fontId="20" fillId="0" borderId="26" xfId="1" applyNumberFormat="1" applyFont="1" applyBorder="1" applyAlignment="1">
      <alignment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vertical="center"/>
    </xf>
    <xf numFmtId="0" fontId="20" fillId="0" borderId="42" xfId="0" applyFont="1" applyBorder="1" applyAlignment="1">
      <alignment horizontal="center" vertical="center"/>
    </xf>
    <xf numFmtId="167" fontId="20" fillId="0" borderId="42" xfId="1" applyNumberFormat="1" applyFont="1" applyBorder="1" applyAlignment="1">
      <alignment vertical="center"/>
    </xf>
    <xf numFmtId="168" fontId="20" fillId="0" borderId="42" xfId="1" applyNumberFormat="1" applyFont="1" applyBorder="1" applyAlignment="1">
      <alignment vertical="center"/>
    </xf>
    <xf numFmtId="168" fontId="24" fillId="0" borderId="98" xfId="1" applyNumberFormat="1" applyFont="1" applyBorder="1" applyAlignment="1">
      <alignment vertical="center"/>
    </xf>
    <xf numFmtId="169" fontId="24" fillId="0" borderId="19" xfId="1" applyNumberFormat="1" applyFont="1" applyBorder="1" applyAlignment="1">
      <alignment vertical="center"/>
    </xf>
    <xf numFmtId="168" fontId="24" fillId="0" borderId="97" xfId="1" applyNumberFormat="1" applyFont="1" applyBorder="1" applyAlignment="1">
      <alignment vertical="center"/>
    </xf>
    <xf numFmtId="168" fontId="24" fillId="0" borderId="27" xfId="1" applyNumberFormat="1" applyFont="1" applyBorder="1" applyAlignment="1">
      <alignment vertical="center"/>
    </xf>
    <xf numFmtId="168" fontId="24" fillId="0" borderId="19" xfId="1" applyNumberFormat="1" applyFont="1" applyBorder="1" applyAlignment="1">
      <alignment vertical="center"/>
    </xf>
    <xf numFmtId="167" fontId="24" fillId="0" borderId="86" xfId="1" applyNumberFormat="1" applyFont="1" applyBorder="1" applyAlignment="1">
      <alignment vertical="center"/>
    </xf>
    <xf numFmtId="168" fontId="28" fillId="0" borderId="98" xfId="1" applyNumberFormat="1" applyFont="1" applyBorder="1" applyAlignment="1">
      <alignment vertical="center"/>
    </xf>
    <xf numFmtId="169" fontId="28" fillId="0" borderId="19" xfId="1" applyNumberFormat="1" applyFont="1" applyBorder="1" applyAlignment="1">
      <alignment vertical="center"/>
    </xf>
    <xf numFmtId="168" fontId="28" fillId="0" borderId="97" xfId="1" applyNumberFormat="1" applyFont="1" applyBorder="1" applyAlignment="1">
      <alignment vertical="center"/>
    </xf>
    <xf numFmtId="168" fontId="28" fillId="0" borderId="27" xfId="1" applyNumberFormat="1" applyFont="1" applyBorder="1" applyAlignment="1">
      <alignment vertical="center"/>
    </xf>
    <xf numFmtId="167" fontId="28" fillId="0" borderId="86" xfId="1" applyNumberFormat="1" applyFont="1" applyBorder="1" applyAlignment="1">
      <alignment vertical="center"/>
    </xf>
    <xf numFmtId="168" fontId="28" fillId="0" borderId="83" xfId="1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1" xfId="0" applyFont="1" applyBorder="1" applyAlignment="1">
      <alignment vertical="center"/>
    </xf>
    <xf numFmtId="0" fontId="5" fillId="0" borderId="111" xfId="0" applyFont="1" applyBorder="1" applyAlignment="1">
      <alignment vertical="center"/>
    </xf>
    <xf numFmtId="0" fontId="5" fillId="0" borderId="112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51" xfId="0" applyFont="1" applyBorder="1" applyAlignment="1">
      <alignment vertical="center"/>
    </xf>
    <xf numFmtId="0" fontId="20" fillId="0" borderId="111" xfId="0" applyFont="1" applyBorder="1" applyAlignment="1">
      <alignment vertical="center"/>
    </xf>
    <xf numFmtId="0" fontId="20" fillId="0" borderId="112" xfId="0" applyFont="1" applyBorder="1" applyAlignment="1">
      <alignment vertical="center"/>
    </xf>
    <xf numFmtId="168" fontId="5" fillId="0" borderId="113" xfId="1" applyNumberFormat="1" applyFont="1" applyBorder="1" applyAlignment="1">
      <alignment vertical="center"/>
    </xf>
    <xf numFmtId="0" fontId="0" fillId="0" borderId="111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4" fontId="2" fillId="0" borderId="65" xfId="1" applyNumberFormat="1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101" xfId="0" applyBorder="1" applyAlignment="1">
      <alignment vertical="center"/>
    </xf>
    <xf numFmtId="168" fontId="20" fillId="0" borderId="98" xfId="1" applyNumberFormat="1" applyFont="1" applyBorder="1" applyAlignment="1">
      <alignment vertical="center"/>
    </xf>
    <xf numFmtId="168" fontId="20" fillId="0" borderId="97" xfId="1" applyNumberFormat="1" applyFont="1" applyBorder="1" applyAlignment="1">
      <alignment vertical="center"/>
    </xf>
    <xf numFmtId="168" fontId="20" fillId="0" borderId="113" xfId="1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3" fillId="0" borderId="4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34" fillId="0" borderId="13" xfId="0" applyFont="1" applyBorder="1" applyAlignment="1">
      <alignment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vertical="center"/>
    </xf>
    <xf numFmtId="0" fontId="34" fillId="0" borderId="15" xfId="0" applyFont="1" applyBorder="1" applyAlignment="1">
      <alignment horizontal="center" vertical="center"/>
    </xf>
    <xf numFmtId="167" fontId="34" fillId="0" borderId="15" xfId="1" applyNumberFormat="1" applyFont="1" applyBorder="1" applyAlignment="1">
      <alignment vertical="center"/>
    </xf>
    <xf numFmtId="168" fontId="34" fillId="0" borderId="15" xfId="1" applyNumberFormat="1" applyFont="1" applyBorder="1" applyAlignment="1">
      <alignment vertical="center"/>
    </xf>
    <xf numFmtId="168" fontId="34" fillId="0" borderId="16" xfId="1" applyNumberFormat="1" applyFont="1" applyBorder="1" applyAlignment="1">
      <alignment vertic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vertical="center"/>
    </xf>
    <xf numFmtId="0" fontId="34" fillId="0" borderId="19" xfId="0" applyFont="1" applyBorder="1" applyAlignment="1">
      <alignment horizontal="center" vertical="center"/>
    </xf>
    <xf numFmtId="167" fontId="34" fillId="0" borderId="19" xfId="1" applyNumberFormat="1" applyFont="1" applyBorder="1" applyAlignment="1">
      <alignment vertical="center"/>
    </xf>
    <xf numFmtId="168" fontId="34" fillId="0" borderId="97" xfId="1" applyNumberFormat="1" applyFont="1" applyBorder="1" applyAlignment="1">
      <alignment vertical="center"/>
    </xf>
    <xf numFmtId="0" fontId="34" fillId="0" borderId="4" xfId="0" applyFont="1" applyBorder="1" applyAlignment="1">
      <alignment horizontal="center" vertical="center"/>
    </xf>
    <xf numFmtId="0" fontId="34" fillId="0" borderId="20" xfId="0" applyFont="1" applyBorder="1" applyAlignment="1">
      <alignment vertical="center"/>
    </xf>
    <xf numFmtId="0" fontId="34" fillId="0" borderId="21" xfId="0" applyFont="1" applyBorder="1" applyAlignment="1">
      <alignment vertical="center"/>
    </xf>
    <xf numFmtId="0" fontId="33" fillId="0" borderId="21" xfId="0" applyFont="1" applyBorder="1" applyAlignment="1">
      <alignment vertical="center"/>
    </xf>
    <xf numFmtId="0" fontId="34" fillId="0" borderId="22" xfId="0" applyFont="1" applyBorder="1" applyAlignment="1">
      <alignment vertical="center"/>
    </xf>
    <xf numFmtId="168" fontId="34" fillId="0" borderId="6" xfId="0" applyNumberFormat="1" applyFont="1" applyBorder="1" applyAlignment="1">
      <alignment vertical="center"/>
    </xf>
    <xf numFmtId="0" fontId="33" fillId="0" borderId="7" xfId="0" applyFont="1" applyBorder="1" applyAlignment="1">
      <alignment horizontal="center" vertical="center"/>
    </xf>
    <xf numFmtId="0" fontId="33" fillId="0" borderId="23" xfId="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34" fillId="0" borderId="24" xfId="0" applyFont="1" applyBorder="1" applyAlignment="1">
      <alignment vertical="center"/>
    </xf>
    <xf numFmtId="0" fontId="34" fillId="0" borderId="49" xfId="0" applyFont="1" applyBorder="1" applyAlignment="1">
      <alignment horizontal="center" vertical="center"/>
    </xf>
    <xf numFmtId="0" fontId="34" fillId="0" borderId="17" xfId="0" applyFont="1" applyBorder="1" applyAlignment="1">
      <alignment vertical="center"/>
    </xf>
    <xf numFmtId="0" fontId="34" fillId="0" borderId="17" xfId="0" applyFont="1" applyBorder="1" applyAlignment="1">
      <alignment horizontal="center" vertical="center"/>
    </xf>
    <xf numFmtId="167" fontId="34" fillId="0" borderId="17" xfId="1" applyNumberFormat="1" applyFont="1" applyBorder="1" applyAlignment="1">
      <alignment vertical="center"/>
    </xf>
    <xf numFmtId="168" fontId="34" fillId="0" borderId="17" xfId="1" applyNumberFormat="1" applyFont="1" applyBorder="1" applyAlignment="1">
      <alignment vertical="center"/>
    </xf>
    <xf numFmtId="168" fontId="34" fillId="0" borderId="27" xfId="1" applyNumberFormat="1" applyFont="1" applyBorder="1" applyAlignment="1">
      <alignment vertical="center"/>
    </xf>
    <xf numFmtId="0" fontId="34" fillId="0" borderId="5" xfId="0" applyFont="1" applyBorder="1" applyAlignment="1">
      <alignment vertical="center"/>
    </xf>
    <xf numFmtId="0" fontId="33" fillId="0" borderId="5" xfId="0" applyFont="1" applyBorder="1" applyAlignment="1">
      <alignment vertical="center"/>
    </xf>
    <xf numFmtId="0" fontId="34" fillId="0" borderId="28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29" xfId="0" applyFont="1" applyBorder="1" applyAlignment="1">
      <alignment horizontal="center" vertical="center"/>
    </xf>
    <xf numFmtId="167" fontId="34" fillId="0" borderId="29" xfId="1" applyNumberFormat="1" applyFont="1" applyBorder="1" applyAlignment="1">
      <alignment vertical="center"/>
    </xf>
    <xf numFmtId="168" fontId="34" fillId="0" borderId="29" xfId="1" applyNumberFormat="1" applyFont="1" applyBorder="1" applyAlignment="1">
      <alignment vertical="center"/>
    </xf>
    <xf numFmtId="168" fontId="34" fillId="0" borderId="30" xfId="1" applyNumberFormat="1" applyFont="1" applyBorder="1" applyAlignment="1">
      <alignment vertical="center"/>
    </xf>
    <xf numFmtId="0" fontId="33" fillId="0" borderId="31" xfId="0" applyFont="1" applyBorder="1" applyAlignment="1">
      <alignment vertical="center"/>
    </xf>
    <xf numFmtId="0" fontId="33" fillId="0" borderId="32" xfId="0" applyFont="1" applyBorder="1" applyAlignment="1">
      <alignment vertical="center"/>
    </xf>
    <xf numFmtId="166" fontId="33" fillId="0" borderId="9" xfId="0" applyNumberFormat="1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33" fillId="0" borderId="33" xfId="0" applyFont="1" applyBorder="1" applyAlignment="1">
      <alignment vertical="center"/>
    </xf>
    <xf numFmtId="166" fontId="33" fillId="0" borderId="34" xfId="0" applyNumberFormat="1" applyFont="1" applyBorder="1" applyAlignment="1">
      <alignment vertical="center"/>
    </xf>
    <xf numFmtId="0" fontId="33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vertical="center"/>
    </xf>
    <xf numFmtId="0" fontId="33" fillId="0" borderId="37" xfId="0" applyFont="1" applyBorder="1" applyAlignment="1">
      <alignment vertical="center"/>
    </xf>
    <xf numFmtId="0" fontId="33" fillId="0" borderId="38" xfId="0" applyFont="1" applyBorder="1" applyAlignment="1">
      <alignment vertical="center"/>
    </xf>
    <xf numFmtId="166" fontId="33" fillId="0" borderId="39" xfId="0" applyNumberFormat="1" applyFont="1" applyBorder="1" applyAlignment="1">
      <alignment vertical="center"/>
    </xf>
    <xf numFmtId="0" fontId="32" fillId="0" borderId="17" xfId="0" applyFont="1" applyBorder="1" applyAlignment="1">
      <alignment horizontal="center"/>
    </xf>
    <xf numFmtId="0" fontId="32" fillId="0" borderId="42" xfId="0" applyFont="1" applyBorder="1" applyAlignment="1">
      <alignment horizontal="center"/>
    </xf>
    <xf numFmtId="166" fontId="2" fillId="0" borderId="0" xfId="0" applyNumberFormat="1" applyFont="1"/>
    <xf numFmtId="0" fontId="36" fillId="0" borderId="0" xfId="0" applyFont="1"/>
    <xf numFmtId="0" fontId="0" fillId="0" borderId="40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107" xfId="0" applyBorder="1"/>
    <xf numFmtId="0" fontId="0" fillId="0" borderId="107" xfId="0" applyBorder="1" applyAlignment="1">
      <alignment horizontal="center"/>
    </xf>
    <xf numFmtId="0" fontId="0" fillId="0" borderId="39" xfId="0" applyBorder="1" applyAlignment="1">
      <alignment horizontal="center"/>
    </xf>
    <xf numFmtId="0" fontId="38" fillId="0" borderId="70" xfId="0" applyFont="1" applyBorder="1"/>
    <xf numFmtId="0" fontId="38" fillId="0" borderId="40" xfId="0" applyFont="1" applyBorder="1"/>
    <xf numFmtId="2" fontId="38" fillId="0" borderId="70" xfId="0" applyNumberFormat="1" applyFont="1" applyBorder="1"/>
    <xf numFmtId="166" fontId="38" fillId="0" borderId="40" xfId="6" applyFont="1" applyBorder="1"/>
    <xf numFmtId="172" fontId="39" fillId="0" borderId="50" xfId="0" applyNumberFormat="1" applyFont="1" applyBorder="1"/>
    <xf numFmtId="43" fontId="38" fillId="0" borderId="70" xfId="0" applyNumberFormat="1" applyFont="1" applyBorder="1"/>
    <xf numFmtId="166" fontId="38" fillId="0" borderId="70" xfId="0" applyNumberFormat="1" applyFont="1" applyBorder="1"/>
    <xf numFmtId="166" fontId="38" fillId="0" borderId="134" xfId="0" applyNumberFormat="1" applyFont="1" applyBorder="1"/>
    <xf numFmtId="0" fontId="40" fillId="0" borderId="50" xfId="0" applyFont="1" applyBorder="1"/>
    <xf numFmtId="0" fontId="40" fillId="0" borderId="12" xfId="0" applyFont="1" applyBorder="1"/>
    <xf numFmtId="166" fontId="40" fillId="0" borderId="50" xfId="6" applyFont="1" applyBorder="1"/>
    <xf numFmtId="0" fontId="40" fillId="0" borderId="34" xfId="0" applyFont="1" applyBorder="1"/>
    <xf numFmtId="0" fontId="39" fillId="0" borderId="50" xfId="0" applyFont="1" applyBorder="1"/>
    <xf numFmtId="0" fontId="39" fillId="0" borderId="12" xfId="0" applyFont="1" applyBorder="1"/>
    <xf numFmtId="166" fontId="39" fillId="0" borderId="12" xfId="6" applyFont="1" applyBorder="1"/>
    <xf numFmtId="0" fontId="39" fillId="0" borderId="34" xfId="0" applyFont="1" applyBorder="1"/>
    <xf numFmtId="0" fontId="41" fillId="0" borderId="50" xfId="0" applyFont="1" applyBorder="1"/>
    <xf numFmtId="0" fontId="41" fillId="0" borderId="12" xfId="0" applyFont="1" applyBorder="1"/>
    <xf numFmtId="166" fontId="41" fillId="0" borderId="12" xfId="6" applyFont="1" applyBorder="1"/>
    <xf numFmtId="172" fontId="41" fillId="0" borderId="50" xfId="0" applyNumberFormat="1" applyFont="1" applyBorder="1"/>
    <xf numFmtId="0" fontId="41" fillId="0" borderId="34" xfId="0" applyFont="1" applyBorder="1"/>
    <xf numFmtId="0" fontId="42" fillId="0" borderId="50" xfId="0" applyFont="1" applyBorder="1"/>
    <xf numFmtId="0" fontId="42" fillId="0" borderId="12" xfId="0" applyFont="1" applyBorder="1"/>
    <xf numFmtId="166" fontId="42" fillId="0" borderId="12" xfId="6" applyFont="1" applyBorder="1"/>
    <xf numFmtId="172" fontId="42" fillId="0" borderId="50" xfId="0" applyNumberFormat="1" applyFont="1" applyBorder="1"/>
    <xf numFmtId="0" fontId="42" fillId="0" borderId="34" xfId="0" applyFont="1" applyBorder="1"/>
    <xf numFmtId="0" fontId="43" fillId="0" borderId="130" xfId="0" applyFont="1" applyBorder="1"/>
    <xf numFmtId="0" fontId="43" fillId="0" borderId="40" xfId="0" applyFont="1" applyBorder="1"/>
    <xf numFmtId="0" fontId="43" fillId="0" borderId="40" xfId="0" applyFont="1" applyBorder="1" applyAlignment="1">
      <alignment horizontal="right"/>
    </xf>
    <xf numFmtId="166" fontId="44" fillId="0" borderId="40" xfId="6" applyFont="1" applyBorder="1"/>
    <xf numFmtId="166" fontId="44" fillId="0" borderId="135" xfId="6" applyFont="1" applyBorder="1"/>
    <xf numFmtId="0" fontId="43" fillId="0" borderId="136" xfId="0" applyFont="1" applyBorder="1"/>
    <xf numFmtId="0" fontId="43" fillId="0" borderId="0" xfId="0" applyFont="1"/>
    <xf numFmtId="0" fontId="43" fillId="0" borderId="0" xfId="0" applyFont="1" applyAlignment="1">
      <alignment horizontal="right"/>
    </xf>
    <xf numFmtId="166" fontId="44" fillId="0" borderId="0" xfId="6" applyFont="1" applyBorder="1"/>
    <xf numFmtId="166" fontId="44" fillId="0" borderId="137" xfId="6" applyFont="1" applyBorder="1"/>
    <xf numFmtId="0" fontId="45" fillId="0" borderId="132" xfId="0" applyFont="1" applyBorder="1"/>
    <xf numFmtId="0" fontId="45" fillId="0" borderId="93" xfId="0" applyFont="1" applyBorder="1"/>
    <xf numFmtId="0" fontId="45" fillId="0" borderId="93" xfId="0" applyFont="1" applyBorder="1" applyAlignment="1">
      <alignment horizontal="right"/>
    </xf>
    <xf numFmtId="166" fontId="45" fillId="0" borderId="93" xfId="0" applyNumberFormat="1" applyFont="1" applyBorder="1"/>
    <xf numFmtId="166" fontId="45" fillId="0" borderId="138" xfId="0" applyNumberFormat="1" applyFont="1" applyBorder="1"/>
    <xf numFmtId="172" fontId="39" fillId="0" borderId="29" xfId="0" applyNumberFormat="1" applyFont="1" applyBorder="1"/>
    <xf numFmtId="166" fontId="38" fillId="0" borderId="12" xfId="6" applyFont="1" applyBorder="1"/>
    <xf numFmtId="43" fontId="38" fillId="0" borderId="50" xfId="0" applyNumberFormat="1" applyFont="1" applyBorder="1"/>
    <xf numFmtId="0" fontId="0" fillId="0" borderId="37" xfId="0" applyBorder="1"/>
    <xf numFmtId="172" fontId="0" fillId="0" borderId="107" xfId="0" applyNumberFormat="1" applyBorder="1"/>
    <xf numFmtId="0" fontId="0" fillId="0" borderId="39" xfId="0" applyBorder="1"/>
    <xf numFmtId="4" fontId="0" fillId="0" borderId="50" xfId="0" applyNumberFormat="1" applyBorder="1" applyAlignment="1">
      <alignment horizontal="right" wrapText="1"/>
    </xf>
    <xf numFmtId="4" fontId="0" fillId="0" borderId="50" xfId="0" applyNumberFormat="1" applyBorder="1"/>
    <xf numFmtId="4" fontId="0" fillId="0" borderId="50" xfId="0" applyNumberForma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171" fontId="28" fillId="0" borderId="26" xfId="1" applyNumberFormat="1" applyFont="1" applyBorder="1" applyAlignment="1">
      <alignment horizontal="right" vertical="center"/>
    </xf>
    <xf numFmtId="171" fontId="28" fillId="0" borderId="15" xfId="1" applyNumberFormat="1" applyFont="1" applyBorder="1" applyAlignment="1">
      <alignment horizontal="right" vertical="center"/>
    </xf>
    <xf numFmtId="0" fontId="28" fillId="0" borderId="49" xfId="0" applyFont="1" applyBorder="1" applyAlignment="1">
      <alignment horizontal="center" vertical="center"/>
    </xf>
    <xf numFmtId="171" fontId="28" fillId="0" borderId="17" xfId="1" applyNumberFormat="1" applyFont="1" applyBorder="1" applyAlignment="1">
      <alignment horizontal="right" vertical="center"/>
    </xf>
    <xf numFmtId="168" fontId="28" fillId="0" borderId="17" xfId="1" applyNumberFormat="1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51" xfId="0" applyFont="1" applyBorder="1" applyAlignment="1">
      <alignment vertical="center"/>
    </xf>
    <xf numFmtId="0" fontId="28" fillId="0" borderId="111" xfId="0" applyFont="1" applyBorder="1" applyAlignment="1">
      <alignment vertical="center"/>
    </xf>
    <xf numFmtId="0" fontId="28" fillId="0" borderId="112" xfId="0" applyFont="1" applyBorder="1" applyAlignment="1">
      <alignment vertical="center"/>
    </xf>
    <xf numFmtId="0" fontId="31" fillId="0" borderId="50" xfId="0" applyFont="1" applyBorder="1" applyAlignment="1">
      <alignment vertical="center"/>
    </xf>
    <xf numFmtId="9" fontId="0" fillId="0" borderId="0" xfId="0" applyNumberFormat="1"/>
    <xf numFmtId="170" fontId="0" fillId="0" borderId="0" xfId="0" applyNumberFormat="1"/>
    <xf numFmtId="0" fontId="32" fillId="0" borderId="86" xfId="0" applyFont="1" applyBorder="1" applyAlignment="1">
      <alignment horizontal="center"/>
    </xf>
    <xf numFmtId="0" fontId="49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8" fillId="0" borderId="50" xfId="0" applyFont="1" applyBorder="1" applyAlignment="1">
      <alignment vertical="center"/>
    </xf>
    <xf numFmtId="0" fontId="48" fillId="0" borderId="50" xfId="0" applyFont="1" applyBorder="1" applyAlignment="1">
      <alignment horizontal="center" vertical="center"/>
    </xf>
    <xf numFmtId="170" fontId="48" fillId="0" borderId="58" xfId="1" applyNumberFormat="1" applyFont="1" applyBorder="1" applyAlignment="1">
      <alignment vertical="center"/>
    </xf>
    <xf numFmtId="169" fontId="20" fillId="0" borderId="15" xfId="1" applyNumberFormat="1" applyFont="1" applyBorder="1" applyAlignment="1">
      <alignment vertical="center"/>
    </xf>
    <xf numFmtId="169" fontId="20" fillId="0" borderId="17" xfId="1" applyNumberFormat="1" applyFont="1" applyBorder="1" applyAlignment="1">
      <alignment vertical="center"/>
    </xf>
    <xf numFmtId="169" fontId="20" fillId="0" borderId="19" xfId="1" applyNumberFormat="1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2" fontId="39" fillId="0" borderId="50" xfId="0" applyNumberFormat="1" applyFont="1" applyBorder="1"/>
    <xf numFmtId="166" fontId="39" fillId="0" borderId="50" xfId="0" applyNumberFormat="1" applyFont="1" applyBorder="1"/>
    <xf numFmtId="2" fontId="40" fillId="0" borderId="50" xfId="0" applyNumberFormat="1" applyFont="1" applyBorder="1"/>
    <xf numFmtId="0" fontId="42" fillId="0" borderId="29" xfId="0" applyFont="1" applyBorder="1"/>
    <xf numFmtId="0" fontId="42" fillId="0" borderId="111" xfId="0" applyFont="1" applyBorder="1"/>
    <xf numFmtId="166" fontId="42" fillId="0" borderId="111" xfId="6" applyFont="1" applyBorder="1"/>
    <xf numFmtId="172" fontId="42" fillId="0" borderId="29" xfId="0" applyNumberFormat="1" applyFont="1" applyBorder="1"/>
    <xf numFmtId="0" fontId="42" fillId="0" borderId="30" xfId="0" applyFont="1" applyBorder="1"/>
    <xf numFmtId="2" fontId="42" fillId="0" borderId="50" xfId="0" applyNumberFormat="1" applyFont="1" applyBorder="1"/>
    <xf numFmtId="166" fontId="42" fillId="0" borderId="50" xfId="0" applyNumberFormat="1" applyFont="1" applyBorder="1"/>
    <xf numFmtId="166" fontId="42" fillId="0" borderId="29" xfId="0" applyNumberFormat="1" applyFont="1" applyBorder="1"/>
    <xf numFmtId="0" fontId="52" fillId="0" borderId="50" xfId="0" applyFont="1" applyBorder="1"/>
    <xf numFmtId="0" fontId="52" fillId="0" borderId="12" xfId="0" applyFont="1" applyBorder="1"/>
    <xf numFmtId="2" fontId="52" fillId="0" borderId="50" xfId="0" applyNumberFormat="1" applyFont="1" applyBorder="1"/>
    <xf numFmtId="166" fontId="52" fillId="0" borderId="12" xfId="6" applyFont="1" applyBorder="1"/>
    <xf numFmtId="172" fontId="52" fillId="0" borderId="50" xfId="0" applyNumberFormat="1" applyFont="1" applyBorder="1"/>
    <xf numFmtId="166" fontId="52" fillId="0" borderId="50" xfId="0" applyNumberFormat="1" applyFont="1" applyBorder="1"/>
    <xf numFmtId="0" fontId="52" fillId="0" borderId="34" xfId="0" applyFont="1" applyBorder="1"/>
    <xf numFmtId="0" fontId="53" fillId="0" borderId="29" xfId="0" applyFont="1" applyBorder="1"/>
    <xf numFmtId="0" fontId="53" fillId="0" borderId="111" xfId="0" applyFont="1" applyBorder="1"/>
    <xf numFmtId="166" fontId="53" fillId="0" borderId="111" xfId="6" applyFont="1" applyBorder="1"/>
    <xf numFmtId="172" fontId="53" fillId="0" borderId="29" xfId="0" applyNumberFormat="1" applyFont="1" applyBorder="1"/>
    <xf numFmtId="166" fontId="53" fillId="0" borderId="29" xfId="0" applyNumberFormat="1" applyFont="1" applyBorder="1"/>
    <xf numFmtId="0" fontId="53" fillId="0" borderId="30" xfId="0" applyFont="1" applyBorder="1"/>
    <xf numFmtId="0" fontId="39" fillId="0" borderId="29" xfId="0" applyFont="1" applyBorder="1"/>
    <xf numFmtId="0" fontId="39" fillId="0" borderId="111" xfId="0" applyFont="1" applyBorder="1"/>
    <xf numFmtId="166" fontId="39" fillId="0" borderId="111" xfId="6" applyFont="1" applyBorder="1"/>
    <xf numFmtId="166" fontId="39" fillId="0" borderId="29" xfId="0" applyNumberFormat="1" applyFont="1" applyBorder="1"/>
    <xf numFmtId="0" fontId="39" fillId="0" borderId="30" xfId="0" applyFont="1" applyBorder="1"/>
    <xf numFmtId="166" fontId="40" fillId="0" borderId="12" xfId="6" applyFont="1" applyBorder="1"/>
    <xf numFmtId="172" fontId="40" fillId="0" borderId="50" xfId="0" applyNumberFormat="1" applyFont="1" applyBorder="1"/>
    <xf numFmtId="166" fontId="40" fillId="0" borderId="50" xfId="0" applyNumberFormat="1" applyFont="1" applyBorder="1"/>
    <xf numFmtId="0" fontId="54" fillId="0" borderId="70" xfId="0" applyFont="1" applyBorder="1"/>
    <xf numFmtId="0" fontId="54" fillId="0" borderId="40" xfId="0" applyFont="1" applyBorder="1"/>
    <xf numFmtId="2" fontId="54" fillId="0" borderId="70" xfId="0" applyNumberFormat="1" applyFont="1" applyBorder="1"/>
    <xf numFmtId="166" fontId="54" fillId="0" borderId="40" xfId="6" applyFont="1" applyBorder="1"/>
    <xf numFmtId="172" fontId="54" fillId="0" borderId="29" xfId="0" applyNumberFormat="1" applyFont="1" applyBorder="1"/>
    <xf numFmtId="43" fontId="54" fillId="0" borderId="70" xfId="0" applyNumberFormat="1" applyFont="1" applyBorder="1"/>
    <xf numFmtId="166" fontId="54" fillId="0" borderId="70" xfId="0" applyNumberFormat="1" applyFont="1" applyBorder="1"/>
    <xf numFmtId="166" fontId="54" fillId="0" borderId="134" xfId="0" applyNumberFormat="1" applyFont="1" applyBorder="1"/>
    <xf numFmtId="0" fontId="54" fillId="0" borderId="50" xfId="0" applyFont="1" applyBorder="1"/>
    <xf numFmtId="0" fontId="54" fillId="0" borderId="12" xfId="0" applyFont="1" applyBorder="1"/>
    <xf numFmtId="166" fontId="54" fillId="0" borderId="50" xfId="6" applyFont="1" applyBorder="1"/>
    <xf numFmtId="166" fontId="54" fillId="0" borderId="12" xfId="6" applyFont="1" applyBorder="1"/>
    <xf numFmtId="172" fontId="54" fillId="0" borderId="50" xfId="0" applyNumberFormat="1" applyFont="1" applyBorder="1"/>
    <xf numFmtId="2" fontId="54" fillId="0" borderId="50" xfId="0" applyNumberFormat="1" applyFont="1" applyBorder="1"/>
    <xf numFmtId="43" fontId="54" fillId="0" borderId="50" xfId="0" applyNumberFormat="1" applyFont="1" applyBorder="1"/>
    <xf numFmtId="0" fontId="54" fillId="0" borderId="34" xfId="0" applyFont="1" applyBorder="1"/>
    <xf numFmtId="166" fontId="54" fillId="0" borderId="50" xfId="0" applyNumberFormat="1" applyFont="1" applyBorder="1"/>
    <xf numFmtId="166" fontId="54" fillId="0" borderId="34" xfId="0" applyNumberFormat="1" applyFont="1" applyBorder="1"/>
    <xf numFmtId="0" fontId="40" fillId="3" borderId="50" xfId="0" applyFont="1" applyFill="1" applyBorder="1"/>
    <xf numFmtId="0" fontId="40" fillId="3" borderId="12" xfId="0" applyFont="1" applyFill="1" applyBorder="1"/>
    <xf numFmtId="166" fontId="40" fillId="3" borderId="12" xfId="6" applyFont="1" applyFill="1" applyBorder="1"/>
    <xf numFmtId="172" fontId="40" fillId="3" borderId="50" xfId="0" applyNumberFormat="1" applyFont="1" applyFill="1" applyBorder="1"/>
    <xf numFmtId="166" fontId="40" fillId="3" borderId="50" xfId="0" applyNumberFormat="1" applyFont="1" applyFill="1" applyBorder="1"/>
    <xf numFmtId="0" fontId="40" fillId="3" borderId="34" xfId="0" applyFont="1" applyFill="1" applyBorder="1"/>
    <xf numFmtId="2" fontId="40" fillId="3" borderId="50" xfId="0" applyNumberFormat="1" applyFont="1" applyFill="1" applyBorder="1"/>
    <xf numFmtId="0" fontId="52" fillId="3" borderId="12" xfId="0" applyFont="1" applyFill="1" applyBorder="1"/>
    <xf numFmtId="0" fontId="52" fillId="3" borderId="50" xfId="0" applyFont="1" applyFill="1" applyBorder="1"/>
    <xf numFmtId="166" fontId="52" fillId="3" borderId="12" xfId="6" applyFont="1" applyFill="1" applyBorder="1"/>
    <xf numFmtId="172" fontId="52" fillId="3" borderId="50" xfId="0" applyNumberFormat="1" applyFont="1" applyFill="1" applyBorder="1"/>
    <xf numFmtId="166" fontId="52" fillId="3" borderId="50" xfId="0" applyNumberFormat="1" applyFont="1" applyFill="1" applyBorder="1"/>
    <xf numFmtId="0" fontId="52" fillId="3" borderId="34" xfId="0" applyFont="1" applyFill="1" applyBorder="1"/>
    <xf numFmtId="2" fontId="52" fillId="3" borderId="50" xfId="0" applyNumberFormat="1" applyFont="1" applyFill="1" applyBorder="1"/>
    <xf numFmtId="0" fontId="40" fillId="4" borderId="50" xfId="0" applyFont="1" applyFill="1" applyBorder="1"/>
    <xf numFmtId="0" fontId="52" fillId="4" borderId="12" xfId="0" applyFont="1" applyFill="1" applyBorder="1"/>
    <xf numFmtId="0" fontId="52" fillId="4" borderId="50" xfId="0" applyFont="1" applyFill="1" applyBorder="1"/>
    <xf numFmtId="166" fontId="52" fillId="4" borderId="12" xfId="6" applyFont="1" applyFill="1" applyBorder="1"/>
    <xf numFmtId="172" fontId="52" fillId="4" borderId="50" xfId="0" applyNumberFormat="1" applyFont="1" applyFill="1" applyBorder="1"/>
    <xf numFmtId="166" fontId="52" fillId="4" borderId="50" xfId="0" applyNumberFormat="1" applyFont="1" applyFill="1" applyBorder="1"/>
    <xf numFmtId="0" fontId="52" fillId="4" borderId="34" xfId="0" applyFont="1" applyFill="1" applyBorder="1"/>
    <xf numFmtId="2" fontId="52" fillId="4" borderId="50" xfId="0" applyNumberFormat="1" applyFont="1" applyFill="1" applyBorder="1"/>
    <xf numFmtId="0" fontId="53" fillId="0" borderId="70" xfId="0" applyFont="1" applyBorder="1"/>
    <xf numFmtId="0" fontId="53" fillId="0" borderId="40" xfId="0" applyFont="1" applyBorder="1"/>
    <xf numFmtId="2" fontId="53" fillId="0" borderId="70" xfId="0" applyNumberFormat="1" applyFont="1" applyBorder="1"/>
    <xf numFmtId="166" fontId="53" fillId="0" borderId="40" xfId="6" applyFont="1" applyBorder="1"/>
    <xf numFmtId="43" fontId="53" fillId="0" borderId="70" xfId="0" applyNumberFormat="1" applyFont="1" applyBorder="1"/>
    <xf numFmtId="166" fontId="53" fillId="0" borderId="70" xfId="0" applyNumberFormat="1" applyFont="1" applyBorder="1"/>
    <xf numFmtId="166" fontId="53" fillId="0" borderId="134" xfId="0" applyNumberFormat="1" applyFont="1" applyBorder="1"/>
    <xf numFmtId="0" fontId="53" fillId="0" borderId="50" xfId="0" applyFont="1" applyBorder="1"/>
    <xf numFmtId="0" fontId="53" fillId="0" borderId="12" xfId="0" applyFont="1" applyBorder="1"/>
    <xf numFmtId="2" fontId="53" fillId="0" borderId="50" xfId="0" applyNumberFormat="1" applyFont="1" applyBorder="1"/>
    <xf numFmtId="166" fontId="53" fillId="0" borderId="12" xfId="6" applyFont="1" applyBorder="1"/>
    <xf numFmtId="172" fontId="53" fillId="0" borderId="50" xfId="0" applyNumberFormat="1" applyFont="1" applyBorder="1"/>
    <xf numFmtId="43" fontId="53" fillId="0" borderId="50" xfId="0" applyNumberFormat="1" applyFont="1" applyBorder="1"/>
    <xf numFmtId="166" fontId="53" fillId="0" borderId="50" xfId="0" applyNumberFormat="1" applyFont="1" applyBorder="1"/>
    <xf numFmtId="166" fontId="53" fillId="0" borderId="34" xfId="0" applyNumberFormat="1" applyFont="1" applyBorder="1"/>
    <xf numFmtId="166" fontId="53" fillId="0" borderId="50" xfId="6" applyFont="1" applyBorder="1"/>
    <xf numFmtId="0" fontId="53" fillId="0" borderId="34" xfId="0" applyFont="1" applyBorder="1"/>
    <xf numFmtId="166" fontId="42" fillId="0" borderId="12" xfId="6" applyFont="1" applyFill="1" applyBorder="1"/>
    <xf numFmtId="0" fontId="52" fillId="0" borderId="29" xfId="0" applyFont="1" applyBorder="1"/>
    <xf numFmtId="167" fontId="20" fillId="0" borderId="86" xfId="1" applyNumberFormat="1" applyFont="1" applyBorder="1" applyAlignment="1">
      <alignment vertical="center"/>
    </xf>
    <xf numFmtId="0" fontId="2" fillId="0" borderId="29" xfId="0" applyFont="1" applyBorder="1" applyAlignment="1">
      <alignment vertical="center" wrapText="1"/>
    </xf>
    <xf numFmtId="0" fontId="48" fillId="0" borderId="0" xfId="0" applyFont="1"/>
    <xf numFmtId="166" fontId="0" fillId="0" borderId="0" xfId="0" applyNumberFormat="1"/>
    <xf numFmtId="0" fontId="59" fillId="0" borderId="50" xfId="0" applyFont="1" applyBorder="1" applyAlignment="1">
      <alignment vertical="center"/>
    </xf>
    <xf numFmtId="170" fontId="62" fillId="0" borderId="84" xfId="0" applyNumberFormat="1" applyFont="1" applyBorder="1"/>
    <xf numFmtId="0" fontId="62" fillId="0" borderId="80" xfId="0" applyFont="1" applyBorder="1"/>
    <xf numFmtId="170" fontId="63" fillId="0" borderId="0" xfId="1" quotePrefix="1" applyNumberFormat="1" applyFont="1" applyAlignment="1">
      <alignment horizontal="right"/>
    </xf>
    <xf numFmtId="0" fontId="61" fillId="0" borderId="69" xfId="0" applyFont="1" applyBorder="1" applyAlignment="1">
      <alignment vertical="center"/>
    </xf>
    <xf numFmtId="0" fontId="61" fillId="0" borderId="73" xfId="0" applyFont="1" applyBorder="1" applyAlignment="1">
      <alignment vertical="center"/>
    </xf>
    <xf numFmtId="0" fontId="61" fillId="0" borderId="87" xfId="0" applyFont="1" applyBorder="1" applyAlignment="1">
      <alignment vertical="center"/>
    </xf>
    <xf numFmtId="44" fontId="61" fillId="0" borderId="88" xfId="0" applyNumberFormat="1" applyFont="1" applyBorder="1" applyAlignment="1">
      <alignment vertical="center"/>
    </xf>
    <xf numFmtId="0" fontId="60" fillId="0" borderId="0" xfId="0" applyFont="1"/>
    <xf numFmtId="0" fontId="14" fillId="0" borderId="0" xfId="0" applyFont="1" applyAlignment="1">
      <alignment horizontal="right" vertical="center"/>
    </xf>
    <xf numFmtId="0" fontId="6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170" fontId="48" fillId="0" borderId="75" xfId="1" applyNumberFormat="1" applyFont="1" applyBorder="1" applyAlignment="1">
      <alignment vertical="center"/>
    </xf>
    <xf numFmtId="4" fontId="48" fillId="0" borderId="58" xfId="1" applyNumberFormat="1" applyFont="1" applyBorder="1" applyAlignment="1">
      <alignment vertical="center"/>
    </xf>
    <xf numFmtId="0" fontId="68" fillId="0" borderId="0" xfId="0" applyFont="1"/>
    <xf numFmtId="0" fontId="32" fillId="0" borderId="0" xfId="0" applyFont="1"/>
    <xf numFmtId="0" fontId="32" fillId="0" borderId="0" xfId="0" applyFont="1" applyAlignment="1">
      <alignment horizontal="center"/>
    </xf>
    <xf numFmtId="4" fontId="32" fillId="0" borderId="0" xfId="0" applyNumberFormat="1" applyFont="1" applyAlignment="1">
      <alignment horizontal="center"/>
    </xf>
    <xf numFmtId="170" fontId="32" fillId="0" borderId="0" xfId="1" applyNumberFormat="1" applyFont="1"/>
    <xf numFmtId="0" fontId="72" fillId="2" borderId="46" xfId="0" applyFont="1" applyFill="1" applyBorder="1" applyAlignment="1">
      <alignment horizontal="center" vertical="center"/>
    </xf>
    <xf numFmtId="0" fontId="72" fillId="2" borderId="47" xfId="0" applyFont="1" applyFill="1" applyBorder="1" applyAlignment="1">
      <alignment horizontal="center" vertical="center"/>
    </xf>
    <xf numFmtId="4" fontId="72" fillId="2" borderId="47" xfId="0" applyNumberFormat="1" applyFont="1" applyFill="1" applyBorder="1" applyAlignment="1">
      <alignment horizontal="center" vertical="center"/>
    </xf>
    <xf numFmtId="170" fontId="72" fillId="2" borderId="47" xfId="1" applyNumberFormat="1" applyFont="1" applyFill="1" applyBorder="1" applyAlignment="1">
      <alignment horizontal="center" vertical="center" wrapText="1"/>
    </xf>
    <xf numFmtId="170" fontId="72" fillId="2" borderId="48" xfId="1" applyNumberFormat="1" applyFont="1" applyFill="1" applyBorder="1" applyAlignment="1">
      <alignment horizontal="center" vertical="center" wrapText="1"/>
    </xf>
    <xf numFmtId="0" fontId="73" fillId="0" borderId="52" xfId="0" applyFont="1" applyBorder="1" applyAlignment="1">
      <alignment horizontal="center"/>
    </xf>
    <xf numFmtId="0" fontId="73" fillId="0" borderId="73" xfId="0" applyFont="1" applyBorder="1" applyAlignment="1">
      <alignment horizontal="left"/>
    </xf>
    <xf numFmtId="0" fontId="73" fillId="0" borderId="40" xfId="0" applyFont="1" applyBorder="1"/>
    <xf numFmtId="0" fontId="32" fillId="0" borderId="40" xfId="0" applyFont="1" applyBorder="1" applyAlignment="1">
      <alignment horizontal="center"/>
    </xf>
    <xf numFmtId="4" fontId="32" fillId="0" borderId="40" xfId="0" applyNumberFormat="1" applyFont="1" applyBorder="1" applyAlignment="1">
      <alignment horizontal="center"/>
    </xf>
    <xf numFmtId="0" fontId="32" fillId="0" borderId="40" xfId="0" applyFont="1" applyBorder="1"/>
    <xf numFmtId="170" fontId="32" fillId="0" borderId="40" xfId="1" applyNumberFormat="1" applyFont="1" applyBorder="1"/>
    <xf numFmtId="170" fontId="32" fillId="0" borderId="53" xfId="1" applyNumberFormat="1" applyFont="1" applyBorder="1"/>
    <xf numFmtId="0" fontId="32" fillId="0" borderId="56" xfId="0" applyFont="1" applyBorder="1"/>
    <xf numFmtId="0" fontId="32" fillId="0" borderId="26" xfId="0" applyFont="1" applyBorder="1" applyAlignment="1">
      <alignment horizontal="center"/>
    </xf>
    <xf numFmtId="0" fontId="32" fillId="0" borderId="77" xfId="0" applyFont="1" applyBorder="1" applyAlignment="1">
      <alignment horizontal="left"/>
    </xf>
    <xf numFmtId="0" fontId="32" fillId="0" borderId="26" xfId="0" quotePrefix="1" applyFont="1" applyBorder="1" applyAlignment="1">
      <alignment horizontal="center"/>
    </xf>
    <xf numFmtId="4" fontId="32" fillId="0" borderId="26" xfId="0" applyNumberFormat="1" applyFont="1" applyBorder="1" applyAlignment="1">
      <alignment horizontal="center"/>
    </xf>
    <xf numFmtId="2" fontId="32" fillId="0" borderId="26" xfId="0" applyNumberFormat="1" applyFont="1" applyBorder="1" applyAlignment="1">
      <alignment horizontal="center"/>
    </xf>
    <xf numFmtId="170" fontId="32" fillId="0" borderId="26" xfId="1" applyNumberFormat="1" applyFont="1" applyBorder="1"/>
    <xf numFmtId="170" fontId="32" fillId="0" borderId="78" xfId="1" applyNumberFormat="1" applyFont="1" applyBorder="1"/>
    <xf numFmtId="0" fontId="32" fillId="0" borderId="43" xfId="0" applyFont="1" applyBorder="1"/>
    <xf numFmtId="0" fontId="32" fillId="0" borderId="15" xfId="0" applyFont="1" applyBorder="1" applyAlignment="1">
      <alignment horizontal="center"/>
    </xf>
    <xf numFmtId="0" fontId="5" fillId="0" borderId="76" xfId="0" applyFont="1" applyBorder="1" applyAlignment="1">
      <alignment horizontal="left"/>
    </xf>
    <xf numFmtId="0" fontId="32" fillId="0" borderId="15" xfId="0" quotePrefix="1" applyFont="1" applyBorder="1" applyAlignment="1">
      <alignment horizontal="center"/>
    </xf>
    <xf numFmtId="4" fontId="32" fillId="0" borderId="15" xfId="0" applyNumberFormat="1" applyFont="1" applyBorder="1" applyAlignment="1">
      <alignment horizontal="center"/>
    </xf>
    <xf numFmtId="2" fontId="32" fillId="0" borderId="15" xfId="0" applyNumberFormat="1" applyFont="1" applyBorder="1" applyAlignment="1">
      <alignment horizontal="center"/>
    </xf>
    <xf numFmtId="170" fontId="32" fillId="0" borderId="15" xfId="1" applyNumberFormat="1" applyFont="1" applyBorder="1"/>
    <xf numFmtId="170" fontId="32" fillId="0" borderId="79" xfId="1" applyNumberFormat="1" applyFont="1" applyBorder="1"/>
    <xf numFmtId="0" fontId="32" fillId="0" borderId="76" xfId="0" applyFont="1" applyBorder="1" applyAlignment="1">
      <alignment horizontal="left"/>
    </xf>
    <xf numFmtId="170" fontId="73" fillId="0" borderId="55" xfId="1" applyNumberFormat="1" applyFont="1" applyFill="1" applyBorder="1"/>
    <xf numFmtId="0" fontId="73" fillId="0" borderId="2" xfId="0" applyFont="1" applyBorder="1" applyAlignment="1">
      <alignment horizontal="center"/>
    </xf>
    <xf numFmtId="0" fontId="73" fillId="0" borderId="66" xfId="0" applyFont="1" applyBorder="1" applyAlignment="1">
      <alignment horizontal="left"/>
    </xf>
    <xf numFmtId="0" fontId="32" fillId="0" borderId="120" xfId="0" applyFont="1" applyBorder="1" applyAlignment="1">
      <alignment horizontal="left"/>
    </xf>
    <xf numFmtId="0" fontId="32" fillId="0" borderId="120" xfId="0" applyFont="1" applyBorder="1" applyAlignment="1">
      <alignment horizontal="center"/>
    </xf>
    <xf numFmtId="4" fontId="32" fillId="0" borderId="120" xfId="0" applyNumberFormat="1" applyFont="1" applyBorder="1" applyAlignment="1">
      <alignment horizontal="center"/>
    </xf>
    <xf numFmtId="0" fontId="32" fillId="0" borderId="120" xfId="0" applyFont="1" applyBorder="1"/>
    <xf numFmtId="170" fontId="32" fillId="0" borderId="120" xfId="1" applyNumberFormat="1" applyFont="1" applyBorder="1"/>
    <xf numFmtId="170" fontId="32" fillId="0" borderId="104" xfId="1" applyNumberFormat="1" applyFont="1" applyBorder="1"/>
    <xf numFmtId="0" fontId="32" fillId="0" borderId="63" xfId="0" applyFont="1" applyBorder="1"/>
    <xf numFmtId="0" fontId="32" fillId="0" borderId="17" xfId="0" quotePrefix="1" applyFont="1" applyBorder="1" applyAlignment="1">
      <alignment horizontal="left"/>
    </xf>
    <xf numFmtId="4" fontId="32" fillId="0" borderId="17" xfId="0" applyNumberFormat="1" applyFont="1" applyBorder="1" applyAlignment="1">
      <alignment horizontal="center"/>
    </xf>
    <xf numFmtId="170" fontId="32" fillId="0" borderId="17" xfId="1" applyNumberFormat="1" applyFont="1" applyBorder="1"/>
    <xf numFmtId="170" fontId="32" fillId="0" borderId="118" xfId="1" applyNumberFormat="1" applyFont="1" applyBorder="1"/>
    <xf numFmtId="0" fontId="32" fillId="0" borderId="15" xfId="0" quotePrefix="1" applyFont="1" applyBorder="1" applyAlignment="1">
      <alignment horizontal="left"/>
    </xf>
    <xf numFmtId="0" fontId="32" fillId="0" borderId="19" xfId="0" applyFont="1" applyBorder="1" applyAlignment="1">
      <alignment horizontal="center"/>
    </xf>
    <xf numFmtId="4" fontId="32" fillId="0" borderId="19" xfId="0" applyNumberFormat="1" applyFont="1" applyBorder="1" applyAlignment="1">
      <alignment horizontal="center"/>
    </xf>
    <xf numFmtId="170" fontId="32" fillId="0" borderId="19" xfId="1" applyNumberFormat="1" applyFont="1" applyBorder="1"/>
    <xf numFmtId="170" fontId="68" fillId="0" borderId="0" xfId="0" applyNumberFormat="1" applyFont="1"/>
    <xf numFmtId="0" fontId="32" fillId="0" borderId="76" xfId="0" quotePrefix="1" applyFont="1" applyBorder="1" applyAlignment="1">
      <alignment horizontal="left"/>
    </xf>
    <xf numFmtId="0" fontId="32" fillId="0" borderId="19" xfId="0" applyFont="1" applyBorder="1" applyAlignment="1">
      <alignment horizontal="left"/>
    </xf>
    <xf numFmtId="4" fontId="32" fillId="0" borderId="86" xfId="0" applyNumberFormat="1" applyFont="1" applyBorder="1" applyAlignment="1">
      <alignment horizontal="center"/>
    </xf>
    <xf numFmtId="170" fontId="32" fillId="0" borderId="86" xfId="1" applyNumberFormat="1" applyFont="1" applyBorder="1"/>
    <xf numFmtId="170" fontId="32" fillId="0" borderId="152" xfId="1" applyNumberFormat="1" applyFont="1" applyBorder="1"/>
    <xf numFmtId="2" fontId="32" fillId="0" borderId="19" xfId="0" applyNumberFormat="1" applyFont="1" applyBorder="1" applyAlignment="1">
      <alignment horizontal="center"/>
    </xf>
    <xf numFmtId="0" fontId="5" fillId="0" borderId="19" xfId="0" quotePrefix="1" applyFont="1" applyBorder="1" applyAlignment="1">
      <alignment horizontal="left"/>
    </xf>
    <xf numFmtId="0" fontId="32" fillId="0" borderId="19" xfId="0" quotePrefix="1" applyFont="1" applyBorder="1" applyAlignment="1">
      <alignment horizontal="left"/>
    </xf>
    <xf numFmtId="0" fontId="73" fillId="0" borderId="69" xfId="0" applyFont="1" applyBorder="1" applyAlignment="1">
      <alignment horizontal="center"/>
    </xf>
    <xf numFmtId="0" fontId="73" fillId="0" borderId="57" xfId="0" applyFont="1" applyBorder="1" applyAlignment="1">
      <alignment horizontal="left"/>
    </xf>
    <xf numFmtId="0" fontId="32" fillId="0" borderId="31" xfId="0" applyFont="1" applyBorder="1" applyAlignment="1">
      <alignment horizontal="left"/>
    </xf>
    <xf numFmtId="0" fontId="32" fillId="0" borderId="31" xfId="0" applyFont="1" applyBorder="1" applyAlignment="1">
      <alignment horizontal="center"/>
    </xf>
    <xf numFmtId="4" fontId="32" fillId="0" borderId="31" xfId="0" applyNumberFormat="1" applyFont="1" applyBorder="1" applyAlignment="1">
      <alignment horizontal="center"/>
    </xf>
    <xf numFmtId="0" fontId="32" fillId="0" borderId="31" xfId="0" applyFont="1" applyBorder="1"/>
    <xf numFmtId="170" fontId="32" fillId="0" borderId="31" xfId="1" applyNumberFormat="1" applyFont="1" applyBorder="1"/>
    <xf numFmtId="170" fontId="32" fillId="0" borderId="64" xfId="1" applyNumberFormat="1" applyFont="1" applyBorder="1"/>
    <xf numFmtId="170" fontId="32" fillId="0" borderId="44" xfId="1" applyNumberFormat="1" applyFont="1" applyBorder="1"/>
    <xf numFmtId="0" fontId="32" fillId="0" borderId="86" xfId="0" applyFont="1" applyBorder="1" applyAlignment="1">
      <alignment horizontal="left"/>
    </xf>
    <xf numFmtId="2" fontId="32" fillId="0" borderId="86" xfId="0" applyNumberFormat="1" applyFont="1" applyBorder="1" applyAlignment="1">
      <alignment horizontal="center"/>
    </xf>
    <xf numFmtId="0" fontId="32" fillId="0" borderId="0" xfId="0" applyFont="1" applyAlignment="1">
      <alignment horizontal="left"/>
    </xf>
    <xf numFmtId="0" fontId="68" fillId="0" borderId="0" xfId="0" applyFont="1" applyAlignment="1">
      <alignment horizontal="center"/>
    </xf>
    <xf numFmtId="4" fontId="68" fillId="0" borderId="0" xfId="0" applyNumberFormat="1" applyFont="1" applyAlignment="1">
      <alignment horizontal="center"/>
    </xf>
    <xf numFmtId="170" fontId="68" fillId="0" borderId="0" xfId="1" applyNumberFormat="1" applyFont="1"/>
    <xf numFmtId="4" fontId="32" fillId="0" borderId="0" xfId="0" applyNumberFormat="1" applyFont="1"/>
    <xf numFmtId="0" fontId="73" fillId="0" borderId="107" xfId="0" applyFont="1" applyBorder="1" applyAlignment="1">
      <alignment horizontal="center" vertical="center"/>
    </xf>
    <xf numFmtId="4" fontId="73" fillId="0" borderId="107" xfId="0" applyNumberFormat="1" applyFont="1" applyBorder="1" applyAlignment="1">
      <alignment horizontal="center" vertical="center"/>
    </xf>
    <xf numFmtId="0" fontId="73" fillId="0" borderId="108" xfId="0" applyFont="1" applyBorder="1" applyAlignment="1">
      <alignment horizontal="center" vertical="center"/>
    </xf>
    <xf numFmtId="0" fontId="73" fillId="0" borderId="114" xfId="0" applyFont="1" applyBorder="1" applyAlignment="1">
      <alignment horizontal="center"/>
    </xf>
    <xf numFmtId="0" fontId="73" fillId="0" borderId="115" xfId="0" applyFont="1" applyBorder="1"/>
    <xf numFmtId="4" fontId="32" fillId="0" borderId="115" xfId="0" applyNumberFormat="1" applyFont="1" applyBorder="1"/>
    <xf numFmtId="0" fontId="32" fillId="0" borderId="115" xfId="0" applyFont="1" applyBorder="1"/>
    <xf numFmtId="0" fontId="32" fillId="0" borderId="116" xfId="0" applyFont="1" applyBorder="1"/>
    <xf numFmtId="0" fontId="73" fillId="0" borderId="117" xfId="0" applyFont="1" applyBorder="1" applyAlignment="1">
      <alignment horizontal="center"/>
    </xf>
    <xf numFmtId="0" fontId="73" fillId="0" borderId="17" xfId="0" applyFont="1" applyBorder="1"/>
    <xf numFmtId="4" fontId="32" fillId="0" borderId="17" xfId="0" applyNumberFormat="1" applyFont="1" applyBorder="1"/>
    <xf numFmtId="0" fontId="32" fillId="0" borderId="17" xfId="0" applyFont="1" applyBorder="1"/>
    <xf numFmtId="0" fontId="32" fillId="0" borderId="118" xfId="0" applyFont="1" applyBorder="1"/>
    <xf numFmtId="0" fontId="32" fillId="0" borderId="109" xfId="0" applyFont="1" applyBorder="1"/>
    <xf numFmtId="0" fontId="32" fillId="0" borderId="15" xfId="0" applyFont="1" applyBorder="1"/>
    <xf numFmtId="4" fontId="32" fillId="0" borderId="121" xfId="0" applyNumberFormat="1" applyFont="1" applyBorder="1"/>
    <xf numFmtId="165" fontId="32" fillId="0" borderId="17" xfId="0" applyNumberFormat="1" applyFont="1" applyBorder="1"/>
    <xf numFmtId="2" fontId="32" fillId="0" borderId="15" xfId="0" applyNumberFormat="1" applyFont="1" applyBorder="1"/>
    <xf numFmtId="2" fontId="32" fillId="0" borderId="17" xfId="0" applyNumberFormat="1" applyFont="1" applyBorder="1"/>
    <xf numFmtId="0" fontId="32" fillId="0" borderId="79" xfId="0" applyFont="1" applyBorder="1"/>
    <xf numFmtId="0" fontId="32" fillId="0" borderId="19" xfId="0" applyFont="1" applyBorder="1"/>
    <xf numFmtId="166" fontId="32" fillId="0" borderId="17" xfId="0" applyNumberFormat="1" applyFont="1" applyBorder="1"/>
    <xf numFmtId="4" fontId="32" fillId="0" borderId="127" xfId="0" applyNumberFormat="1" applyFont="1" applyBorder="1"/>
    <xf numFmtId="4" fontId="32" fillId="0" borderId="19" xfId="0" applyNumberFormat="1" applyFont="1" applyBorder="1"/>
    <xf numFmtId="2" fontId="32" fillId="0" borderId="19" xfId="0" applyNumberFormat="1" applyFont="1" applyBorder="1"/>
    <xf numFmtId="2" fontId="73" fillId="0" borderId="124" xfId="0" applyNumberFormat="1" applyFont="1" applyBorder="1"/>
    <xf numFmtId="0" fontId="73" fillId="0" borderId="125" xfId="0" applyFont="1" applyBorder="1"/>
    <xf numFmtId="0" fontId="32" fillId="0" borderId="126" xfId="0" applyFont="1" applyBorder="1"/>
    <xf numFmtId="4" fontId="32" fillId="0" borderId="128" xfId="0" applyNumberFormat="1" applyFont="1" applyBorder="1"/>
    <xf numFmtId="4" fontId="32" fillId="0" borderId="126" xfId="0" applyNumberFormat="1" applyFont="1" applyBorder="1"/>
    <xf numFmtId="2" fontId="32" fillId="0" borderId="126" xfId="0" applyNumberFormat="1" applyFont="1" applyBorder="1"/>
    <xf numFmtId="2" fontId="73" fillId="0" borderId="126" xfId="0" applyNumberFormat="1" applyFont="1" applyBorder="1"/>
    <xf numFmtId="0" fontId="73" fillId="0" borderId="129" xfId="0" applyFont="1" applyBorder="1"/>
    <xf numFmtId="4" fontId="32" fillId="0" borderId="42" xfId="0" applyNumberFormat="1" applyFont="1" applyBorder="1"/>
    <xf numFmtId="0" fontId="32" fillId="0" borderId="146" xfId="0" applyFont="1" applyBorder="1"/>
    <xf numFmtId="0" fontId="81" fillId="0" borderId="15" xfId="0" applyFont="1" applyBorder="1" applyAlignment="1">
      <alignment horizontal="right"/>
    </xf>
    <xf numFmtId="4" fontId="32" fillId="0" borderId="15" xfId="0" applyNumberFormat="1" applyFont="1" applyBorder="1"/>
    <xf numFmtId="0" fontId="82" fillId="0" borderId="15" xfId="0" applyFont="1" applyBorder="1" applyAlignment="1">
      <alignment horizontal="right"/>
    </xf>
    <xf numFmtId="0" fontId="51" fillId="0" borderId="19" xfId="0" applyFont="1" applyBorder="1" applyAlignment="1">
      <alignment horizontal="right"/>
    </xf>
    <xf numFmtId="0" fontId="82" fillId="0" borderId="19" xfId="0" applyFont="1" applyBorder="1"/>
    <xf numFmtId="0" fontId="81" fillId="0" borderId="19" xfId="0" applyFont="1" applyBorder="1" applyAlignment="1">
      <alignment horizontal="right"/>
    </xf>
    <xf numFmtId="0" fontId="84" fillId="0" borderId="19" xfId="0" applyFont="1" applyBorder="1" applyAlignment="1">
      <alignment horizontal="right"/>
    </xf>
    <xf numFmtId="0" fontId="84" fillId="0" borderId="19" xfId="0" applyFont="1" applyBorder="1" applyAlignment="1">
      <alignment horizontal="right" wrapText="1"/>
    </xf>
    <xf numFmtId="0" fontId="32" fillId="0" borderId="119" xfId="0" applyFont="1" applyBorder="1"/>
    <xf numFmtId="0" fontId="32" fillId="0" borderId="144" xfId="0" applyFont="1" applyBorder="1"/>
    <xf numFmtId="0" fontId="32" fillId="0" borderId="86" xfId="0" applyFont="1" applyBorder="1"/>
    <xf numFmtId="4" fontId="32" fillId="0" borderId="139" xfId="0" applyNumberFormat="1" applyFont="1" applyBorder="1"/>
    <xf numFmtId="4" fontId="32" fillId="0" borderId="86" xfId="0" applyNumberFormat="1" applyFont="1" applyBorder="1"/>
    <xf numFmtId="2" fontId="32" fillId="0" borderId="86" xfId="0" applyNumberFormat="1" applyFont="1" applyBorder="1"/>
    <xf numFmtId="2" fontId="73" fillId="0" borderId="142" xfId="0" applyNumberFormat="1" applyFont="1" applyBorder="1"/>
    <xf numFmtId="0" fontId="73" fillId="0" borderId="143" xfId="0" applyFont="1" applyBorder="1"/>
    <xf numFmtId="0" fontId="32" fillId="0" borderId="154" xfId="0" applyFont="1" applyBorder="1"/>
    <xf numFmtId="2" fontId="73" fillId="0" borderId="126" xfId="0" applyNumberFormat="1" applyFont="1" applyBorder="1" applyAlignment="1">
      <alignment horizontal="center"/>
    </xf>
    <xf numFmtId="4" fontId="32" fillId="0" borderId="110" xfId="0" applyNumberFormat="1" applyFont="1" applyBorder="1"/>
    <xf numFmtId="165" fontId="32" fillId="0" borderId="19" xfId="0" applyNumberFormat="1" applyFont="1" applyBorder="1"/>
    <xf numFmtId="0" fontId="32" fillId="0" borderId="153" xfId="0" applyFont="1" applyBorder="1"/>
    <xf numFmtId="4" fontId="32" fillId="0" borderId="147" xfId="0" applyNumberFormat="1" applyFont="1" applyBorder="1"/>
    <xf numFmtId="4" fontId="32" fillId="0" borderId="146" xfId="0" applyNumberFormat="1" applyFont="1" applyBorder="1"/>
    <xf numFmtId="2" fontId="32" fillId="0" borderId="146" xfId="0" applyNumberFormat="1" applyFont="1" applyBorder="1"/>
    <xf numFmtId="2" fontId="73" fillId="0" borderId="150" xfId="0" applyNumberFormat="1" applyFont="1" applyBorder="1"/>
    <xf numFmtId="0" fontId="73" fillId="0" borderId="151" xfId="0" applyFont="1" applyBorder="1"/>
    <xf numFmtId="0" fontId="32" fillId="0" borderId="155" xfId="0" applyFont="1" applyBorder="1"/>
    <xf numFmtId="2" fontId="32" fillId="0" borderId="115" xfId="0" applyNumberFormat="1" applyFont="1" applyBorder="1"/>
    <xf numFmtId="2" fontId="73" fillId="0" borderId="115" xfId="0" applyNumberFormat="1" applyFont="1" applyBorder="1"/>
    <xf numFmtId="0" fontId="73" fillId="0" borderId="156" xfId="0" applyFont="1" applyBorder="1"/>
    <xf numFmtId="2" fontId="73" fillId="0" borderId="17" xfId="0" applyNumberFormat="1" applyFont="1" applyBorder="1"/>
    <xf numFmtId="0" fontId="73" fillId="0" borderId="145" xfId="0" applyFont="1" applyBorder="1"/>
    <xf numFmtId="0" fontId="32" fillId="0" borderId="42" xfId="0" applyFont="1" applyBorder="1"/>
    <xf numFmtId="2" fontId="32" fillId="0" borderId="42" xfId="0" applyNumberFormat="1" applyFont="1" applyBorder="1"/>
    <xf numFmtId="0" fontId="32" fillId="5" borderId="146" xfId="0" applyFont="1" applyFill="1" applyBorder="1" applyAlignment="1">
      <alignment horizontal="right"/>
    </xf>
    <xf numFmtId="4" fontId="32" fillId="5" borderId="147" xfId="0" applyNumberFormat="1" applyFont="1" applyFill="1" applyBorder="1"/>
    <xf numFmtId="4" fontId="73" fillId="0" borderId="124" xfId="0" applyNumberFormat="1" applyFont="1" applyBorder="1"/>
    <xf numFmtId="0" fontId="73" fillId="0" borderId="159" xfId="0" applyFont="1" applyBorder="1"/>
    <xf numFmtId="0" fontId="32" fillId="0" borderId="160" xfId="0" applyFont="1" applyBorder="1"/>
    <xf numFmtId="0" fontId="32" fillId="0" borderId="161" xfId="0" applyFont="1" applyBorder="1"/>
    <xf numFmtId="4" fontId="32" fillId="0" borderId="162" xfId="0" applyNumberFormat="1" applyFont="1" applyBorder="1"/>
    <xf numFmtId="4" fontId="32" fillId="0" borderId="161" xfId="0" applyNumberFormat="1" applyFont="1" applyBorder="1"/>
    <xf numFmtId="2" fontId="32" fillId="0" borderId="161" xfId="0" applyNumberFormat="1" applyFont="1" applyBorder="1"/>
    <xf numFmtId="2" fontId="73" fillId="0" borderId="165" xfId="0" applyNumberFormat="1" applyFont="1" applyBorder="1"/>
    <xf numFmtId="0" fontId="73" fillId="0" borderId="166" xfId="0" applyFont="1" applyBorder="1"/>
    <xf numFmtId="4" fontId="68" fillId="0" borderId="0" xfId="0" applyNumberFormat="1" applyFont="1"/>
    <xf numFmtId="0" fontId="6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2" borderId="66" xfId="0" applyFont="1" applyFill="1" applyBorder="1" applyAlignment="1">
      <alignment horizontal="center" vertical="center"/>
    </xf>
    <xf numFmtId="0" fontId="12" fillId="2" borderId="67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73" fillId="0" borderId="54" xfId="0" applyFont="1" applyBorder="1" applyAlignment="1">
      <alignment horizontal="right"/>
    </xf>
    <xf numFmtId="0" fontId="73" fillId="0" borderId="21" xfId="0" applyFont="1" applyBorder="1" applyAlignment="1">
      <alignment horizontal="right"/>
    </xf>
    <xf numFmtId="0" fontId="73" fillId="0" borderId="80" xfId="0" applyFont="1" applyBorder="1" applyAlignment="1">
      <alignment horizontal="right"/>
    </xf>
    <xf numFmtId="0" fontId="86" fillId="0" borderId="0" xfId="0" applyFont="1" applyAlignment="1">
      <alignment horizontal="center"/>
    </xf>
    <xf numFmtId="0" fontId="70" fillId="0" borderId="0" xfId="0" applyFont="1" applyAlignment="1">
      <alignment horizontal="center" vertical="center"/>
    </xf>
    <xf numFmtId="0" fontId="72" fillId="2" borderId="47" xfId="0" applyFont="1" applyFill="1" applyBorder="1" applyAlignment="1">
      <alignment horizontal="center" vertical="center"/>
    </xf>
    <xf numFmtId="0" fontId="71" fillId="0" borderId="0" xfId="0" applyFont="1" applyAlignment="1">
      <alignment horizontal="center"/>
    </xf>
    <xf numFmtId="0" fontId="69" fillId="0" borderId="0" xfId="0" applyFont="1" applyAlignment="1">
      <alignment horizontal="center" vertical="center" wrapText="1"/>
    </xf>
    <xf numFmtId="2" fontId="73" fillId="0" borderId="163" xfId="0" applyNumberFormat="1" applyFont="1" applyBorder="1" applyAlignment="1">
      <alignment horizontal="center"/>
    </xf>
    <xf numFmtId="2" fontId="73" fillId="0" borderId="164" xfId="0" applyNumberFormat="1" applyFont="1" applyBorder="1" applyAlignment="1">
      <alignment horizontal="center"/>
    </xf>
    <xf numFmtId="2" fontId="73" fillId="0" borderId="122" xfId="0" applyNumberFormat="1" applyFont="1" applyBorder="1" applyAlignment="1">
      <alignment horizontal="center"/>
    </xf>
    <xf numFmtId="2" fontId="73" fillId="0" borderId="123" xfId="0" applyNumberFormat="1" applyFont="1" applyBorder="1" applyAlignment="1">
      <alignment horizontal="center"/>
    </xf>
    <xf numFmtId="2" fontId="73" fillId="0" borderId="148" xfId="0" applyNumberFormat="1" applyFont="1" applyBorder="1" applyAlignment="1">
      <alignment horizontal="center"/>
    </xf>
    <xf numFmtId="2" fontId="73" fillId="0" borderId="149" xfId="0" applyNumberFormat="1" applyFont="1" applyBorder="1" applyAlignment="1">
      <alignment horizontal="center"/>
    </xf>
    <xf numFmtId="2" fontId="73" fillId="0" borderId="140" xfId="0" applyNumberFormat="1" applyFont="1" applyBorder="1" applyAlignment="1">
      <alignment horizontal="center"/>
    </xf>
    <xf numFmtId="2" fontId="73" fillId="0" borderId="141" xfId="0" applyNumberFormat="1" applyFont="1" applyBorder="1" applyAlignment="1">
      <alignment horizontal="center"/>
    </xf>
    <xf numFmtId="2" fontId="73" fillId="0" borderId="157" xfId="0" applyNumberFormat="1" applyFont="1" applyBorder="1" applyAlignment="1">
      <alignment horizontal="right"/>
    </xf>
    <xf numFmtId="2" fontId="73" fillId="0" borderId="158" xfId="0" applyNumberFormat="1" applyFont="1" applyBorder="1" applyAlignment="1">
      <alignment horizontal="right"/>
    </xf>
    <xf numFmtId="2" fontId="73" fillId="0" borderId="148" xfId="0" applyNumberFormat="1" applyFont="1" applyBorder="1" applyAlignment="1">
      <alignment horizontal="right"/>
    </xf>
    <xf numFmtId="2" fontId="73" fillId="0" borderId="149" xfId="0" applyNumberFormat="1" applyFont="1" applyBorder="1" applyAlignment="1">
      <alignment horizontal="right"/>
    </xf>
    <xf numFmtId="0" fontId="79" fillId="0" borderId="0" xfId="0" applyFont="1" applyAlignment="1">
      <alignment horizontal="center"/>
    </xf>
    <xf numFmtId="0" fontId="73" fillId="0" borderId="2" xfId="0" applyFont="1" applyBorder="1" applyAlignment="1">
      <alignment horizontal="center" vertical="center"/>
    </xf>
    <xf numFmtId="0" fontId="73" fillId="0" borderId="106" xfId="0" applyFont="1" applyBorder="1" applyAlignment="1">
      <alignment horizontal="center" vertical="center"/>
    </xf>
    <xf numFmtId="0" fontId="73" fillId="0" borderId="103" xfId="0" applyFont="1" applyBorder="1" applyAlignment="1">
      <alignment horizontal="center" vertical="center"/>
    </xf>
    <xf numFmtId="0" fontId="73" fillId="0" borderId="107" xfId="0" applyFont="1" applyBorder="1" applyAlignment="1">
      <alignment horizontal="center" vertical="center"/>
    </xf>
    <xf numFmtId="0" fontId="73" fillId="0" borderId="3" xfId="0" applyFont="1" applyBorder="1" applyAlignment="1">
      <alignment horizontal="center" vertical="center"/>
    </xf>
    <xf numFmtId="0" fontId="36" fillId="0" borderId="133" xfId="0" applyFont="1" applyBorder="1" applyAlignment="1">
      <alignment horizontal="center" vertical="center" textRotation="255" wrapText="1"/>
    </xf>
    <xf numFmtId="0" fontId="36" fillId="0" borderId="41" xfId="0" applyFont="1" applyBorder="1" applyAlignment="1">
      <alignment horizontal="center" vertical="center" textRotation="255" wrapText="1"/>
    </xf>
    <xf numFmtId="0" fontId="36" fillId="0" borderId="91" xfId="0" applyFont="1" applyBorder="1" applyAlignment="1">
      <alignment horizontal="center" vertical="center" textRotation="255" wrapText="1"/>
    </xf>
    <xf numFmtId="166" fontId="45" fillId="0" borderId="93" xfId="0" applyNumberFormat="1" applyFont="1" applyBorder="1" applyAlignment="1">
      <alignment horizontal="center"/>
    </xf>
    <xf numFmtId="0" fontId="0" fillId="0" borderId="130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31" xfId="0" applyBorder="1" applyAlignment="1">
      <alignment horizontal="center"/>
    </xf>
    <xf numFmtId="0" fontId="50" fillId="0" borderId="133" xfId="0" applyFont="1" applyBorder="1" applyAlignment="1">
      <alignment horizontal="center" vertical="center" textRotation="255" wrapText="1"/>
    </xf>
    <xf numFmtId="0" fontId="50" fillId="0" borderId="41" xfId="0" applyFont="1" applyBorder="1" applyAlignment="1">
      <alignment horizontal="center" vertical="center" textRotation="255" wrapText="1"/>
    </xf>
    <xf numFmtId="0" fontId="50" fillId="0" borderId="91" xfId="0" applyFont="1" applyBorder="1" applyAlignment="1">
      <alignment horizontal="center" vertical="center" textRotation="255" wrapText="1"/>
    </xf>
    <xf numFmtId="0" fontId="11" fillId="0" borderId="0" xfId="0" applyFont="1" applyAlignment="1">
      <alignment horizontal="center"/>
    </xf>
    <xf numFmtId="0" fontId="17" fillId="2" borderId="47" xfId="0" applyFont="1" applyFill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/>
    </xf>
  </cellXfs>
  <cellStyles count="7">
    <cellStyle name="Comma [0]" xfId="1" builtinId="6"/>
    <cellStyle name="Comma [0] 2" xfId="4" xr:uid="{00000000-0005-0000-0000-000001000000}"/>
    <cellStyle name="Comma 2" xfId="5" xr:uid="{00000000-0005-0000-0000-000002000000}"/>
    <cellStyle name="Comma 2 10" xfId="6" xr:uid="{00000000-0005-0000-0000-000003000000}"/>
    <cellStyle name="Comma 3" xfId="3" xr:uid="{00000000-0005-0000-0000-000004000000}"/>
    <cellStyle name="Normal" xfId="0" builtinId="0"/>
    <cellStyle name="Normal 2" xfId="2" xr:uid="{00000000-0005-0000-0000-000006000000}"/>
  </cellStyles>
  <dxfs count="0"/>
  <tableStyles count="0" defaultTableStyle="TableStyleMedium2" defaultPivotStyle="PivotStyleLight16"/>
  <colors>
    <mruColors>
      <color rgb="FF00FF00"/>
      <color rgb="FFCC00CC"/>
      <color rgb="FFFF99CC"/>
      <color rgb="FFEAEAEA"/>
      <color rgb="FFD60093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view="pageBreakPreview" topLeftCell="A4" zoomScale="85" zoomScaleNormal="85" zoomScaleSheetLayoutView="85" workbookViewId="0">
      <selection activeCell="D18" sqref="D18"/>
    </sheetView>
  </sheetViews>
  <sheetFormatPr defaultColWidth="9.109375" defaultRowHeight="14.4" x14ac:dyDescent="0.3"/>
  <cols>
    <col min="1" max="1" width="5" style="85" customWidth="1"/>
    <col min="2" max="2" width="31.5546875" style="85" customWidth="1"/>
    <col min="3" max="3" width="42.33203125" style="85" customWidth="1"/>
    <col min="4" max="4" width="24.33203125" style="85" customWidth="1"/>
    <col min="5" max="5" width="14.5546875" style="84" bestFit="1" customWidth="1"/>
    <col min="6" max="6" width="21" style="84" bestFit="1" customWidth="1"/>
    <col min="7" max="16384" width="9.109375" style="84"/>
  </cols>
  <sheetData>
    <row r="1" spans="1:5" ht="26.25" customHeight="1" x14ac:dyDescent="0.3">
      <c r="A1" s="846" t="s">
        <v>362</v>
      </c>
      <c r="B1" s="846"/>
      <c r="C1" s="846"/>
      <c r="D1" s="846"/>
    </row>
    <row r="2" spans="1:5" ht="20.100000000000001" customHeight="1" x14ac:dyDescent="0.3">
      <c r="A2" s="847" t="s">
        <v>717</v>
      </c>
      <c r="B2" s="847"/>
      <c r="C2" s="847"/>
      <c r="D2" s="847"/>
    </row>
    <row r="3" spans="1:5" ht="20.100000000000001" customHeight="1" x14ac:dyDescent="0.3">
      <c r="A3" s="847" t="s">
        <v>719</v>
      </c>
      <c r="B3" s="847"/>
      <c r="C3" s="847"/>
      <c r="D3" s="847"/>
    </row>
    <row r="4" spans="1:5" ht="19.8" customHeight="1" x14ac:dyDescent="0.3">
      <c r="A4" s="847" t="s">
        <v>718</v>
      </c>
      <c r="B4" s="847"/>
      <c r="C4" s="847"/>
      <c r="D4" s="847"/>
    </row>
    <row r="5" spans="1:5" ht="20.100000000000001" customHeight="1" x14ac:dyDescent="0.3">
      <c r="A5" s="848" t="s">
        <v>361</v>
      </c>
      <c r="B5" s="848"/>
      <c r="C5" s="848"/>
      <c r="D5" s="848"/>
    </row>
    <row r="6" spans="1:5" ht="20.100000000000001" customHeight="1" thickBot="1" x14ac:dyDescent="0.35">
      <c r="A6" s="849"/>
      <c r="B6" s="849"/>
      <c r="C6" s="849"/>
      <c r="D6" s="849"/>
    </row>
    <row r="7" spans="1:5" ht="45" customHeight="1" thickTop="1" x14ac:dyDescent="0.3">
      <c r="A7" s="146" t="s">
        <v>26</v>
      </c>
      <c r="B7" s="844" t="s">
        <v>52</v>
      </c>
      <c r="C7" s="845"/>
      <c r="D7" s="147" t="s">
        <v>47</v>
      </c>
    </row>
    <row r="8" spans="1:5" ht="24.9" customHeight="1" x14ac:dyDescent="0.3">
      <c r="A8" s="86" t="str">
        <f>RAB!A8</f>
        <v>I</v>
      </c>
      <c r="B8" s="87" t="str">
        <f>RAB!B8</f>
        <v>PEKERJAAN PENDAHULUAN</v>
      </c>
      <c r="C8" s="88"/>
      <c r="D8" s="89">
        <f>RAB!H18</f>
        <v>4945000</v>
      </c>
    </row>
    <row r="9" spans="1:5" ht="24.9" customHeight="1" x14ac:dyDescent="0.3">
      <c r="A9" s="86" t="str">
        <f>RAB!A19</f>
        <v>II</v>
      </c>
      <c r="B9" s="87" t="str">
        <f>RAB!B19</f>
        <v>PEKERJAAN REHAB DINDING</v>
      </c>
      <c r="C9" s="88"/>
      <c r="D9" s="89">
        <f>RAB!H34</f>
        <v>148033944.56710416</v>
      </c>
    </row>
    <row r="10" spans="1:5" ht="24.9" customHeight="1" x14ac:dyDescent="0.3">
      <c r="A10" s="86" t="str">
        <f>RAB!A35</f>
        <v>III</v>
      </c>
      <c r="B10" s="87" t="str">
        <f>RAB!B35</f>
        <v>PEKERJAAN KOLAM CELUP KAKI DISINFECTAN</v>
      </c>
      <c r="C10" s="88"/>
      <c r="D10" s="89">
        <f>RAB!H47</f>
        <v>5273599.2470204998</v>
      </c>
    </row>
    <row r="11" spans="1:5" ht="24.9" customHeight="1" x14ac:dyDescent="0.3">
      <c r="A11" s="86" t="str">
        <f>RAB!A48</f>
        <v>IV</v>
      </c>
      <c r="B11" s="87" t="str">
        <f>RAB!B48</f>
        <v>PEKERJAAN REHAB ATAP</v>
      </c>
      <c r="C11" s="88"/>
      <c r="D11" s="89">
        <f>RAB!H61</f>
        <v>316809475.41416663</v>
      </c>
    </row>
    <row r="12" spans="1:5" ht="24.9" customHeight="1" x14ac:dyDescent="0.3">
      <c r="A12" s="86" t="str">
        <f>RAB!A62</f>
        <v>V</v>
      </c>
      <c r="B12" s="87" t="str">
        <f>RAB!B62</f>
        <v>PEKERJAAN INSTALASI AIR (PIPA, SPRINKLER, &amp; POMPA)</v>
      </c>
      <c r="C12" s="88"/>
      <c r="D12" s="89">
        <f>RAB!H69</f>
        <v>34442437.081200004</v>
      </c>
    </row>
    <row r="13" spans="1:5" ht="24.9" customHeight="1" x14ac:dyDescent="0.3">
      <c r="A13" s="86" t="str">
        <f>RAB!A70</f>
        <v>VI</v>
      </c>
      <c r="B13" s="385" t="str">
        <f>RAB!B70</f>
        <v>PEKERJAAN AKHIR, DLL</v>
      </c>
      <c r="C13" s="386"/>
      <c r="D13" s="387">
        <f>RAB!H74</f>
        <v>1200000</v>
      </c>
    </row>
    <row r="14" spans="1:5" ht="24.9" customHeight="1" x14ac:dyDescent="0.3">
      <c r="A14" s="384" t="str">
        <f>RAB!A75</f>
        <v>VII</v>
      </c>
      <c r="B14" s="385" t="str">
        <f>RAB!B75</f>
        <v>FOTO DOKUMENTASI DAN PELAPORAN</v>
      </c>
      <c r="C14" s="386"/>
      <c r="D14" s="387">
        <f>RAB!H80</f>
        <v>6675000</v>
      </c>
    </row>
    <row r="15" spans="1:5" ht="24.9" customHeight="1" thickBot="1" x14ac:dyDescent="0.35">
      <c r="A15" s="384"/>
      <c r="B15" s="385"/>
      <c r="C15" s="386"/>
      <c r="D15" s="387"/>
    </row>
    <row r="16" spans="1:5" ht="24.9" customHeight="1" x14ac:dyDescent="0.3">
      <c r="A16" s="90"/>
      <c r="B16" s="91" t="s">
        <v>48</v>
      </c>
      <c r="C16" s="92"/>
      <c r="D16" s="93">
        <f>SUM(D8:D14)</f>
        <v>517379456.30949128</v>
      </c>
      <c r="E16" s="94"/>
    </row>
    <row r="17" spans="1:7" ht="24.9" customHeight="1" x14ac:dyDescent="0.3">
      <c r="A17" s="95"/>
      <c r="B17" s="87" t="s">
        <v>49</v>
      </c>
      <c r="C17" s="96">
        <v>0.11</v>
      </c>
      <c r="D17" s="97">
        <f>D16*C17</f>
        <v>56911740.194044039</v>
      </c>
    </row>
    <row r="18" spans="1:7" ht="24.9" customHeight="1" thickBot="1" x14ac:dyDescent="0.35">
      <c r="A18" s="98"/>
      <c r="B18" s="99" t="s">
        <v>50</v>
      </c>
      <c r="C18" s="100"/>
      <c r="D18" s="101">
        <f>SUM(D16:D17)</f>
        <v>574291196.50353527</v>
      </c>
      <c r="E18" s="94"/>
      <c r="F18" s="102"/>
    </row>
    <row r="19" spans="1:7" s="675" customFormat="1" ht="24.9" customHeight="1" thickBot="1" x14ac:dyDescent="0.45">
      <c r="A19" s="671"/>
      <c r="B19" s="672" t="s">
        <v>56</v>
      </c>
      <c r="C19" s="673"/>
      <c r="D19" s="674">
        <f>ROUNDDOWN(D18,-4)</f>
        <v>574290000</v>
      </c>
      <c r="E19" s="670" t="s">
        <v>686</v>
      </c>
      <c r="F19" s="668">
        <v>574290000</v>
      </c>
      <c r="G19" s="669" t="s">
        <v>410</v>
      </c>
    </row>
    <row r="20" spans="1:7" ht="24.9" customHeight="1" thickBot="1" x14ac:dyDescent="0.35">
      <c r="A20" s="103"/>
      <c r="B20" s="104" t="s">
        <v>703</v>
      </c>
      <c r="C20" s="104"/>
      <c r="D20" s="105"/>
      <c r="E20" s="94"/>
      <c r="F20" s="102"/>
    </row>
    <row r="21" spans="1:7" ht="24.9" customHeight="1" thickTop="1" x14ac:dyDescent="0.3">
      <c r="D21" s="106"/>
      <c r="E21" s="94"/>
      <c r="F21" s="102"/>
    </row>
    <row r="22" spans="1:7" ht="24.9" customHeight="1" x14ac:dyDescent="0.3">
      <c r="A22" s="107"/>
      <c r="B22" s="107"/>
      <c r="C22" s="107"/>
      <c r="D22" s="109" t="s">
        <v>404</v>
      </c>
      <c r="E22" s="109"/>
      <c r="F22" s="110"/>
    </row>
    <row r="23" spans="1:7" ht="24.9" customHeight="1" x14ac:dyDescent="0.3">
      <c r="A23" s="843" t="s">
        <v>704</v>
      </c>
      <c r="B23" s="843"/>
      <c r="C23" s="108"/>
      <c r="D23" s="111" t="s">
        <v>720</v>
      </c>
      <c r="E23" s="111"/>
    </row>
    <row r="24" spans="1:7" ht="24.9" customHeight="1" x14ac:dyDescent="0.3">
      <c r="A24" s="843" t="s">
        <v>705</v>
      </c>
      <c r="B24" s="843"/>
      <c r="C24" s="108"/>
      <c r="D24" s="111" t="s">
        <v>706</v>
      </c>
      <c r="E24" s="111"/>
    </row>
    <row r="25" spans="1:7" ht="24.9" customHeight="1" x14ac:dyDescent="0.3">
      <c r="A25" s="107" t="s">
        <v>707</v>
      </c>
      <c r="B25" s="107"/>
      <c r="C25" s="108"/>
      <c r="D25" s="676" t="s">
        <v>708</v>
      </c>
      <c r="E25" s="111"/>
    </row>
    <row r="26" spans="1:7" ht="24.9" customHeight="1" x14ac:dyDescent="0.3">
      <c r="A26" s="111"/>
      <c r="B26" s="111"/>
      <c r="C26" s="111"/>
      <c r="D26" s="111"/>
      <c r="E26" s="111"/>
    </row>
    <row r="27" spans="1:7" ht="24.9" customHeight="1" x14ac:dyDescent="0.3">
      <c r="A27" s="111"/>
      <c r="B27" s="111"/>
      <c r="C27" s="111"/>
      <c r="D27" s="111"/>
      <c r="E27" s="111"/>
    </row>
    <row r="28" spans="1:7" ht="24.9" customHeight="1" x14ac:dyDescent="0.3">
      <c r="A28" s="108"/>
      <c r="B28" s="108"/>
      <c r="C28" s="108"/>
      <c r="D28" s="108"/>
      <c r="E28" s="108"/>
    </row>
    <row r="29" spans="1:7" ht="24.9" customHeight="1" x14ac:dyDescent="0.3">
      <c r="A29" s="842" t="s">
        <v>709</v>
      </c>
      <c r="B29" s="842"/>
      <c r="C29" s="112"/>
      <c r="D29" s="677" t="s">
        <v>710</v>
      </c>
      <c r="E29" s="113"/>
    </row>
    <row r="30" spans="1:7" ht="24.9" customHeight="1" x14ac:dyDescent="0.3">
      <c r="A30" s="843" t="s">
        <v>711</v>
      </c>
      <c r="B30" s="843"/>
      <c r="C30" s="108"/>
      <c r="D30" s="111" t="s">
        <v>740</v>
      </c>
      <c r="E30" s="111"/>
    </row>
    <row r="31" spans="1:7" ht="15.6" x14ac:dyDescent="0.3">
      <c r="A31" s="108"/>
      <c r="B31" s="108"/>
      <c r="C31" s="108"/>
      <c r="D31" s="108"/>
      <c r="E31" s="111"/>
    </row>
    <row r="32" spans="1:7" ht="15.6" x14ac:dyDescent="0.3">
      <c r="A32" s="108"/>
      <c r="B32" s="108"/>
      <c r="C32" s="111" t="s">
        <v>721</v>
      </c>
      <c r="D32" s="108"/>
      <c r="E32" s="108"/>
    </row>
    <row r="33" spans="1:5" ht="15.6" x14ac:dyDescent="0.3">
      <c r="A33" s="108"/>
      <c r="B33" s="108"/>
      <c r="C33" s="111" t="s">
        <v>712</v>
      </c>
      <c r="D33" s="108"/>
      <c r="E33" s="108"/>
    </row>
    <row r="34" spans="1:5" ht="15.6" x14ac:dyDescent="0.3">
      <c r="A34" s="108"/>
      <c r="B34" s="108"/>
      <c r="C34" s="111" t="s">
        <v>713</v>
      </c>
      <c r="D34" s="108"/>
      <c r="E34" s="108"/>
    </row>
    <row r="35" spans="1:5" ht="15.6" x14ac:dyDescent="0.3">
      <c r="A35" s="108"/>
      <c r="B35" s="108"/>
      <c r="C35" s="678" t="s">
        <v>714</v>
      </c>
      <c r="D35" s="108"/>
      <c r="E35" s="108"/>
    </row>
    <row r="36" spans="1:5" ht="15.6" x14ac:dyDescent="0.3">
      <c r="A36" s="108"/>
      <c r="B36" s="108"/>
      <c r="C36" s="111"/>
      <c r="D36" s="108"/>
      <c r="E36" s="108"/>
    </row>
    <row r="37" spans="1:5" ht="15.6" x14ac:dyDescent="0.3">
      <c r="A37" s="108"/>
      <c r="B37" s="108"/>
      <c r="C37" s="111"/>
      <c r="D37" s="108"/>
      <c r="E37" s="108"/>
    </row>
    <row r="38" spans="1:5" ht="15.6" x14ac:dyDescent="0.3">
      <c r="A38" s="112"/>
      <c r="B38" s="112"/>
      <c r="C38" s="113"/>
      <c r="D38" s="112"/>
      <c r="E38" s="112"/>
    </row>
    <row r="39" spans="1:5" ht="15.6" x14ac:dyDescent="0.3">
      <c r="A39" s="108"/>
      <c r="B39" s="108"/>
      <c r="C39" s="111"/>
      <c r="D39" s="108"/>
      <c r="E39" s="108"/>
    </row>
    <row r="40" spans="1:5" x14ac:dyDescent="0.3">
      <c r="C40" s="679"/>
    </row>
    <row r="41" spans="1:5" x14ac:dyDescent="0.3">
      <c r="C41" s="679"/>
    </row>
    <row r="42" spans="1:5" x14ac:dyDescent="0.3">
      <c r="C42" s="679"/>
    </row>
    <row r="43" spans="1:5" x14ac:dyDescent="0.3">
      <c r="C43" s="680" t="s">
        <v>715</v>
      </c>
    </row>
    <row r="44" spans="1:5" x14ac:dyDescent="0.3">
      <c r="C44" s="679" t="s">
        <v>716</v>
      </c>
    </row>
  </sheetData>
  <mergeCells count="11">
    <mergeCell ref="A29:B29"/>
    <mergeCell ref="A30:B30"/>
    <mergeCell ref="B7:C7"/>
    <mergeCell ref="A1:D1"/>
    <mergeCell ref="A4:D4"/>
    <mergeCell ref="A23:B23"/>
    <mergeCell ref="A24:B24"/>
    <mergeCell ref="A5:D5"/>
    <mergeCell ref="A6:D6"/>
    <mergeCell ref="A2:D2"/>
    <mergeCell ref="A3:D3"/>
  </mergeCells>
  <pageMargins left="0.78740157480314965" right="0.59055118110236227" top="0.74803149606299213" bottom="0.15748031496062992" header="0.31496062992125984" footer="0.31496062992125984"/>
  <pageSetup paperSize="9" scale="7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3"/>
  <sheetViews>
    <sheetView view="pageBreakPreview" topLeftCell="A55" zoomScaleNormal="100" zoomScaleSheetLayoutView="100" workbookViewId="0">
      <selection activeCell="I30" sqref="I30"/>
    </sheetView>
  </sheetViews>
  <sheetFormatPr defaultRowHeight="14.4" x14ac:dyDescent="0.3"/>
  <cols>
    <col min="1" max="1" width="3.44140625" style="683" customWidth="1"/>
    <col min="2" max="2" width="4" style="757" customWidth="1"/>
    <col min="3" max="3" width="48.33203125" style="683" customWidth="1"/>
    <col min="4" max="4" width="12" style="757" customWidth="1"/>
    <col min="5" max="5" width="8" style="758" customWidth="1"/>
    <col min="6" max="6" width="7.5546875" style="683" customWidth="1"/>
    <col min="7" max="8" width="14.33203125" style="759" customWidth="1"/>
    <col min="9" max="9" width="13.33203125" style="683" bestFit="1" customWidth="1"/>
    <col min="10" max="16384" width="8.88671875" style="683"/>
  </cols>
  <sheetData>
    <row r="1" spans="1:8" ht="21.75" customHeight="1" x14ac:dyDescent="0.35">
      <c r="A1" s="853" t="s">
        <v>738</v>
      </c>
      <c r="B1" s="853"/>
      <c r="C1" s="853"/>
      <c r="D1" s="853"/>
      <c r="E1" s="853"/>
      <c r="F1" s="853"/>
      <c r="G1" s="853"/>
      <c r="H1" s="853"/>
    </row>
    <row r="2" spans="1:8" ht="18" customHeight="1" x14ac:dyDescent="0.3">
      <c r="A2" s="857" t="str">
        <f>REKAP!A2</f>
        <v>Belanja Jasa Konsultasi Perencanaan Rekayasa - Jasa Nasihat dan Konsultasi</v>
      </c>
      <c r="B2" s="857"/>
      <c r="C2" s="857"/>
      <c r="D2" s="857"/>
      <c r="E2" s="857"/>
      <c r="F2" s="857"/>
      <c r="G2" s="857"/>
      <c r="H2" s="857"/>
    </row>
    <row r="3" spans="1:8" ht="18" customHeight="1" x14ac:dyDescent="0.3">
      <c r="A3" s="857" t="str">
        <f>REKAP!A3</f>
        <v>Jasa Rekayasa Konstruksi Renovasi Screen House A</v>
      </c>
      <c r="B3" s="857"/>
      <c r="C3" s="857"/>
      <c r="D3" s="857"/>
      <c r="E3" s="857"/>
      <c r="F3" s="857"/>
      <c r="G3" s="857"/>
      <c r="H3" s="857"/>
    </row>
    <row r="4" spans="1:8" ht="18" customHeight="1" x14ac:dyDescent="0.3">
      <c r="A4" s="854" t="str">
        <f>REKAP!A4</f>
        <v>UPT Benih Induk Hortikultura Kutagadung (Dana DAK)</v>
      </c>
      <c r="B4" s="854"/>
      <c r="C4" s="854"/>
      <c r="D4" s="854"/>
      <c r="E4" s="854"/>
      <c r="F4" s="854"/>
      <c r="G4" s="854"/>
      <c r="H4" s="854"/>
    </row>
    <row r="5" spans="1:8" ht="15.6" x14ac:dyDescent="0.3">
      <c r="A5" s="856" t="str">
        <f>REKAP!A5</f>
        <v>TAHUN 2023</v>
      </c>
      <c r="B5" s="856"/>
      <c r="C5" s="856"/>
      <c r="D5" s="856"/>
      <c r="E5" s="856"/>
      <c r="F5" s="856"/>
      <c r="G5" s="856"/>
      <c r="H5" s="856"/>
    </row>
    <row r="6" spans="1:8" ht="10.199999999999999" customHeight="1" thickBot="1" x14ac:dyDescent="0.35">
      <c r="A6" s="684"/>
      <c r="B6" s="685"/>
      <c r="C6" s="684"/>
      <c r="D6" s="685"/>
      <c r="E6" s="686"/>
      <c r="F6" s="684"/>
      <c r="G6" s="687"/>
      <c r="H6" s="687"/>
    </row>
    <row r="7" spans="1:8" ht="45.75" customHeight="1" thickTop="1" thickBot="1" x14ac:dyDescent="0.35">
      <c r="A7" s="688" t="s">
        <v>26</v>
      </c>
      <c r="B7" s="855" t="s">
        <v>27</v>
      </c>
      <c r="C7" s="855"/>
      <c r="D7" s="689" t="s">
        <v>28</v>
      </c>
      <c r="E7" s="690" t="s">
        <v>359</v>
      </c>
      <c r="F7" s="689" t="s">
        <v>360</v>
      </c>
      <c r="G7" s="691" t="s">
        <v>30</v>
      </c>
      <c r="H7" s="692" t="s">
        <v>31</v>
      </c>
    </row>
    <row r="8" spans="1:8" x14ac:dyDescent="0.3">
      <c r="A8" s="693" t="s">
        <v>366</v>
      </c>
      <c r="B8" s="694" t="s">
        <v>57</v>
      </c>
      <c r="C8" s="695"/>
      <c r="D8" s="696"/>
      <c r="E8" s="697"/>
      <c r="F8" s="698"/>
      <c r="G8" s="699"/>
      <c r="H8" s="700"/>
    </row>
    <row r="9" spans="1:8" x14ac:dyDescent="0.3">
      <c r="A9" s="701"/>
      <c r="B9" s="702">
        <v>1</v>
      </c>
      <c r="C9" s="703" t="s">
        <v>687</v>
      </c>
      <c r="D9" s="704" t="s">
        <v>58</v>
      </c>
      <c r="E9" s="705">
        <v>1</v>
      </c>
      <c r="F9" s="706" t="s">
        <v>35</v>
      </c>
      <c r="G9" s="707">
        <v>350000</v>
      </c>
      <c r="H9" s="708">
        <f>E9*G9</f>
        <v>350000</v>
      </c>
    </row>
    <row r="10" spans="1:8" x14ac:dyDescent="0.3">
      <c r="A10" s="709"/>
      <c r="B10" s="710">
        <f>B9+1</f>
        <v>2</v>
      </c>
      <c r="C10" s="711" t="s">
        <v>688</v>
      </c>
      <c r="D10" s="712" t="s">
        <v>58</v>
      </c>
      <c r="E10" s="713">
        <v>1</v>
      </c>
      <c r="F10" s="714" t="s">
        <v>35</v>
      </c>
      <c r="G10" s="715">
        <v>150000</v>
      </c>
      <c r="H10" s="716">
        <f>E10*G10</f>
        <v>150000</v>
      </c>
    </row>
    <row r="11" spans="1:8" x14ac:dyDescent="0.3">
      <c r="A11" s="709"/>
      <c r="B11" s="710">
        <f>B10+1</f>
        <v>3</v>
      </c>
      <c r="C11" s="711" t="s">
        <v>689</v>
      </c>
      <c r="D11" s="712" t="s">
        <v>58</v>
      </c>
      <c r="E11" s="713">
        <v>7</v>
      </c>
      <c r="F11" s="714" t="s">
        <v>35</v>
      </c>
      <c r="G11" s="715">
        <v>150000</v>
      </c>
      <c r="H11" s="716">
        <f>E11*G11</f>
        <v>1050000</v>
      </c>
    </row>
    <row r="12" spans="1:8" x14ac:dyDescent="0.3">
      <c r="A12" s="709"/>
      <c r="B12" s="710">
        <f t="shared" ref="B12:B16" si="0">B11+1</f>
        <v>4</v>
      </c>
      <c r="C12" s="711" t="s">
        <v>690</v>
      </c>
      <c r="D12" s="712" t="s">
        <v>58</v>
      </c>
      <c r="E12" s="713">
        <v>7</v>
      </c>
      <c r="F12" s="714" t="s">
        <v>35</v>
      </c>
      <c r="G12" s="715">
        <v>85000</v>
      </c>
      <c r="H12" s="716">
        <f t="shared" ref="H12:H16" si="1">E12*G12</f>
        <v>595000</v>
      </c>
    </row>
    <row r="13" spans="1:8" x14ac:dyDescent="0.3">
      <c r="A13" s="709"/>
      <c r="B13" s="710">
        <f t="shared" si="0"/>
        <v>5</v>
      </c>
      <c r="C13" s="711" t="s">
        <v>691</v>
      </c>
      <c r="D13" s="712" t="s">
        <v>58</v>
      </c>
      <c r="E13" s="713">
        <v>7</v>
      </c>
      <c r="F13" s="714" t="s">
        <v>35</v>
      </c>
      <c r="G13" s="715">
        <v>160000</v>
      </c>
      <c r="H13" s="716">
        <f t="shared" si="1"/>
        <v>1120000</v>
      </c>
    </row>
    <row r="14" spans="1:8" x14ac:dyDescent="0.3">
      <c r="A14" s="709"/>
      <c r="B14" s="710">
        <f t="shared" si="0"/>
        <v>6</v>
      </c>
      <c r="C14" s="711" t="s">
        <v>692</v>
      </c>
      <c r="D14" s="712" t="s">
        <v>58</v>
      </c>
      <c r="E14" s="713">
        <v>7</v>
      </c>
      <c r="F14" s="714" t="s">
        <v>35</v>
      </c>
      <c r="G14" s="715">
        <v>50000</v>
      </c>
      <c r="H14" s="716">
        <f t="shared" si="1"/>
        <v>350000</v>
      </c>
    </row>
    <row r="15" spans="1:8" x14ac:dyDescent="0.3">
      <c r="A15" s="709"/>
      <c r="B15" s="710">
        <f t="shared" si="0"/>
        <v>7</v>
      </c>
      <c r="C15" s="711" t="s">
        <v>693</v>
      </c>
      <c r="D15" s="712" t="s">
        <v>58</v>
      </c>
      <c r="E15" s="713">
        <v>1</v>
      </c>
      <c r="F15" s="714" t="s">
        <v>35</v>
      </c>
      <c r="G15" s="715">
        <v>730000</v>
      </c>
      <c r="H15" s="716">
        <f t="shared" si="1"/>
        <v>730000</v>
      </c>
    </row>
    <row r="16" spans="1:8" x14ac:dyDescent="0.3">
      <c r="A16" s="709"/>
      <c r="B16" s="710">
        <f t="shared" si="0"/>
        <v>8</v>
      </c>
      <c r="C16" s="711" t="s">
        <v>694</v>
      </c>
      <c r="D16" s="712" t="s">
        <v>58</v>
      </c>
      <c r="E16" s="713">
        <v>2</v>
      </c>
      <c r="F16" s="714" t="s">
        <v>35</v>
      </c>
      <c r="G16" s="715">
        <v>300000</v>
      </c>
      <c r="H16" s="716">
        <f t="shared" si="1"/>
        <v>600000</v>
      </c>
    </row>
    <row r="17" spans="1:9" ht="15" thickBot="1" x14ac:dyDescent="0.35">
      <c r="A17" s="709"/>
      <c r="B17" s="710"/>
      <c r="C17" s="717"/>
      <c r="D17" s="712"/>
      <c r="E17" s="713"/>
      <c r="F17" s="714"/>
      <c r="G17" s="715"/>
      <c r="H17" s="716"/>
    </row>
    <row r="18" spans="1:9" ht="15" thickBot="1" x14ac:dyDescent="0.35">
      <c r="A18" s="850" t="s">
        <v>399</v>
      </c>
      <c r="B18" s="851"/>
      <c r="C18" s="851"/>
      <c r="D18" s="851"/>
      <c r="E18" s="851"/>
      <c r="F18" s="851"/>
      <c r="G18" s="852"/>
      <c r="H18" s="718">
        <f>SUM(H9:H17)</f>
        <v>4945000</v>
      </c>
    </row>
    <row r="19" spans="1:9" ht="15" thickTop="1" x14ac:dyDescent="0.3">
      <c r="A19" s="719" t="s">
        <v>367</v>
      </c>
      <c r="B19" s="720" t="s">
        <v>575</v>
      </c>
      <c r="C19" s="721"/>
      <c r="D19" s="722"/>
      <c r="E19" s="723"/>
      <c r="F19" s="724"/>
      <c r="G19" s="725"/>
      <c r="H19" s="726"/>
    </row>
    <row r="20" spans="1:9" ht="16.8" x14ac:dyDescent="0.3">
      <c r="A20" s="727"/>
      <c r="B20" s="485">
        <v>1</v>
      </c>
      <c r="C20" s="728" t="s">
        <v>722</v>
      </c>
      <c r="D20" s="485" t="str">
        <f>AHSP!A122</f>
        <v>Hitung 5.nm</v>
      </c>
      <c r="E20" s="729">
        <f>BackUp_Data!I16</f>
        <v>421.89040000000006</v>
      </c>
      <c r="F20" s="485" t="s">
        <v>723</v>
      </c>
      <c r="G20" s="730">
        <f>AHSP!F137</f>
        <v>12218.75</v>
      </c>
      <c r="H20" s="731">
        <f t="shared" ref="H20:H24" si="2">E20*G20</f>
        <v>5154973.3250000011</v>
      </c>
    </row>
    <row r="21" spans="1:9" ht="16.8" x14ac:dyDescent="0.3">
      <c r="A21" s="727"/>
      <c r="B21" s="485">
        <f>B20+1</f>
        <v>2</v>
      </c>
      <c r="C21" s="728" t="s">
        <v>724</v>
      </c>
      <c r="D21" s="485" t="str">
        <f>AHSP!A769</f>
        <v>Taksir.2.isn</v>
      </c>
      <c r="E21" s="729">
        <f>BackUp_Data!I16</f>
        <v>421.89040000000006</v>
      </c>
      <c r="F21" s="710" t="s">
        <v>723</v>
      </c>
      <c r="G21" s="730">
        <f>AHSP!F786</f>
        <v>45430.75</v>
      </c>
      <c r="H21" s="716">
        <f t="shared" si="2"/>
        <v>19166797.289800003</v>
      </c>
    </row>
    <row r="22" spans="1:9" ht="16.8" x14ac:dyDescent="0.3">
      <c r="A22" s="727"/>
      <c r="B22" s="485">
        <f t="shared" ref="B22:B25" si="3">B21+1</f>
        <v>3</v>
      </c>
      <c r="C22" s="728" t="s">
        <v>725</v>
      </c>
      <c r="D22" s="485" t="str">
        <f>AHSP!A949</f>
        <v>Hitung 2.bp1</v>
      </c>
      <c r="E22" s="729">
        <f>BackUp_Data!I27</f>
        <v>665.51999999999987</v>
      </c>
      <c r="F22" s="485" t="s">
        <v>726</v>
      </c>
      <c r="G22" s="715">
        <f>AHSP!F966</f>
        <v>21730.400000000001</v>
      </c>
      <c r="H22" s="716">
        <f t="shared" si="2"/>
        <v>14462015.807999998</v>
      </c>
    </row>
    <row r="23" spans="1:9" ht="16.8" x14ac:dyDescent="0.3">
      <c r="A23" s="727"/>
      <c r="B23" s="485">
        <f t="shared" si="3"/>
        <v>4</v>
      </c>
      <c r="C23" s="728" t="s">
        <v>397</v>
      </c>
      <c r="D23" s="485" t="str">
        <f>AHSP!A1262</f>
        <v>A.4.7.1.11</v>
      </c>
      <c r="E23" s="729">
        <f>BackUp_Data!I31</f>
        <v>82.679999999999978</v>
      </c>
      <c r="F23" s="485" t="s">
        <v>723</v>
      </c>
      <c r="G23" s="715">
        <f>AHSP!F1280</f>
        <v>27302.15</v>
      </c>
      <c r="H23" s="716">
        <f t="shared" si="2"/>
        <v>2257341.7619999996</v>
      </c>
    </row>
    <row r="24" spans="1:9" ht="16.8" x14ac:dyDescent="0.3">
      <c r="A24" s="727"/>
      <c r="B24" s="485">
        <f t="shared" si="3"/>
        <v>5</v>
      </c>
      <c r="C24" s="728" t="s">
        <v>615</v>
      </c>
      <c r="D24" s="485" t="str">
        <f>AHSP!A1282</f>
        <v>A.4.7.1.4</v>
      </c>
      <c r="E24" s="729">
        <f>BackUp_Data!I75</f>
        <v>487.85465999999997</v>
      </c>
      <c r="F24" s="485" t="s">
        <v>723</v>
      </c>
      <c r="G24" s="730">
        <f>AHSP!F1304</f>
        <v>73145</v>
      </c>
      <c r="H24" s="716">
        <f t="shared" si="2"/>
        <v>35684129.105700001</v>
      </c>
    </row>
    <row r="25" spans="1:9" x14ac:dyDescent="0.3">
      <c r="A25" s="727"/>
      <c r="B25" s="485">
        <f t="shared" si="3"/>
        <v>6</v>
      </c>
      <c r="C25" s="728" t="s">
        <v>426</v>
      </c>
      <c r="D25" s="485"/>
      <c r="E25" s="729"/>
      <c r="F25" s="485"/>
      <c r="G25" s="730"/>
      <c r="H25" s="731">
        <f t="shared" ref="H25:H26" si="4">E25*G25</f>
        <v>0</v>
      </c>
    </row>
    <row r="26" spans="1:9" ht="16.8" x14ac:dyDescent="0.3">
      <c r="A26" s="727"/>
      <c r="B26" s="710"/>
      <c r="C26" s="728" t="s">
        <v>428</v>
      </c>
      <c r="D26" s="710" t="str">
        <f>AHSP!A788</f>
        <v>Taksir.2.pnt</v>
      </c>
      <c r="E26" s="713">
        <f>BackUp_Data!I78</f>
        <v>350.3125</v>
      </c>
      <c r="F26" s="485" t="s">
        <v>723</v>
      </c>
      <c r="G26" s="715">
        <f>AHSP!F805</f>
        <v>44461.875</v>
      </c>
      <c r="H26" s="716">
        <f t="shared" si="4"/>
        <v>15575550.5859375</v>
      </c>
    </row>
    <row r="27" spans="1:9" ht="16.8" x14ac:dyDescent="0.3">
      <c r="A27" s="727"/>
      <c r="B27" s="710"/>
      <c r="C27" s="732" t="s">
        <v>433</v>
      </c>
      <c r="D27" s="733" t="s">
        <v>427</v>
      </c>
      <c r="E27" s="734">
        <f>BackUp_Data!I81</f>
        <v>114.4</v>
      </c>
      <c r="F27" s="485" t="s">
        <v>726</v>
      </c>
      <c r="G27" s="735">
        <f>'HARGA BAHAN'!E25*1.35</f>
        <v>18427.5</v>
      </c>
      <c r="H27" s="716">
        <f t="shared" ref="H27:H32" si="5">E27*G27</f>
        <v>2108106</v>
      </c>
    </row>
    <row r="28" spans="1:9" ht="16.8" x14ac:dyDescent="0.3">
      <c r="A28" s="727"/>
      <c r="B28" s="710"/>
      <c r="C28" s="732" t="s">
        <v>431</v>
      </c>
      <c r="D28" s="733" t="s">
        <v>427</v>
      </c>
      <c r="E28" s="734">
        <f>BackUp_Data!I84</f>
        <v>136</v>
      </c>
      <c r="F28" s="485" t="s">
        <v>726</v>
      </c>
      <c r="G28" s="735">
        <f>'HARGA BAHAN'!E24*1.35</f>
        <v>32778</v>
      </c>
      <c r="H28" s="716">
        <f t="shared" si="5"/>
        <v>4457808</v>
      </c>
    </row>
    <row r="29" spans="1:9" x14ac:dyDescent="0.3">
      <c r="A29" s="727"/>
      <c r="B29" s="710"/>
      <c r="C29" s="732" t="s">
        <v>733</v>
      </c>
      <c r="D29" s="733" t="s">
        <v>35</v>
      </c>
      <c r="E29" s="734">
        <f>4*4</f>
        <v>16</v>
      </c>
      <c r="F29" s="485" t="s">
        <v>236</v>
      </c>
      <c r="G29" s="735">
        <v>411600</v>
      </c>
      <c r="H29" s="716">
        <f t="shared" si="5"/>
        <v>6585600</v>
      </c>
      <c r="I29" s="736"/>
    </row>
    <row r="30" spans="1:9" x14ac:dyDescent="0.3">
      <c r="A30" s="709"/>
      <c r="B30" s="710">
        <f>B25+1</f>
        <v>7</v>
      </c>
      <c r="C30" s="737" t="s">
        <v>695</v>
      </c>
      <c r="D30" s="733" t="str">
        <f>AHSP!A365</f>
        <v>A.4.2.1.2. +</v>
      </c>
      <c r="E30" s="734">
        <f>BackUp_Data!I112</f>
        <v>767.95733333333328</v>
      </c>
      <c r="F30" s="485" t="s">
        <v>213</v>
      </c>
      <c r="G30" s="735">
        <f>AHSP!F385</f>
        <v>45593.1875</v>
      </c>
      <c r="H30" s="716">
        <f t="shared" si="5"/>
        <v>35013622.690666661</v>
      </c>
      <c r="I30" s="736"/>
    </row>
    <row r="31" spans="1:9" x14ac:dyDescent="0.3">
      <c r="A31" s="709"/>
      <c r="B31" s="710">
        <f>B30+1</f>
        <v>8</v>
      </c>
      <c r="C31" s="728" t="s">
        <v>702</v>
      </c>
      <c r="D31" s="710" t="s">
        <v>35</v>
      </c>
      <c r="E31" s="713">
        <v>40</v>
      </c>
      <c r="F31" s="485" t="s">
        <v>700</v>
      </c>
      <c r="G31" s="715">
        <v>98000</v>
      </c>
      <c r="H31" s="716">
        <f t="shared" si="5"/>
        <v>3920000</v>
      </c>
      <c r="I31" s="736"/>
    </row>
    <row r="32" spans="1:9" x14ac:dyDescent="0.3">
      <c r="A32" s="709"/>
      <c r="B32" s="710">
        <f>B31+1</f>
        <v>9</v>
      </c>
      <c r="C32" s="737" t="s">
        <v>739</v>
      </c>
      <c r="D32" s="733" t="s">
        <v>35</v>
      </c>
      <c r="E32" s="734">
        <v>2</v>
      </c>
      <c r="F32" s="485" t="s">
        <v>35</v>
      </c>
      <c r="G32" s="735">
        <v>1824000</v>
      </c>
      <c r="H32" s="716">
        <f t="shared" si="5"/>
        <v>3648000</v>
      </c>
      <c r="I32" s="736"/>
    </row>
    <row r="33" spans="1:9" ht="15" thickBot="1" x14ac:dyDescent="0.35">
      <c r="A33" s="709"/>
      <c r="B33" s="710"/>
      <c r="C33" s="717"/>
      <c r="D33" s="712"/>
      <c r="E33" s="713"/>
      <c r="F33" s="714"/>
      <c r="G33" s="715"/>
      <c r="H33" s="716"/>
      <c r="I33" s="736"/>
    </row>
    <row r="34" spans="1:9" ht="15" thickBot="1" x14ac:dyDescent="0.35">
      <c r="A34" s="850" t="s">
        <v>399</v>
      </c>
      <c r="B34" s="851"/>
      <c r="C34" s="851"/>
      <c r="D34" s="851"/>
      <c r="E34" s="851"/>
      <c r="F34" s="851"/>
      <c r="G34" s="852"/>
      <c r="H34" s="718">
        <f>SUM(H20:H33)</f>
        <v>148033944.56710416</v>
      </c>
      <c r="I34" s="736"/>
    </row>
    <row r="35" spans="1:9" ht="15" thickTop="1" x14ac:dyDescent="0.3">
      <c r="A35" s="719" t="s">
        <v>395</v>
      </c>
      <c r="B35" s="720" t="s">
        <v>727</v>
      </c>
      <c r="C35" s="721"/>
      <c r="D35" s="722"/>
      <c r="E35" s="723"/>
      <c r="F35" s="724"/>
      <c r="G35" s="725"/>
      <c r="H35" s="726"/>
      <c r="I35" s="736"/>
    </row>
    <row r="36" spans="1:9" ht="16.8" x14ac:dyDescent="0.3">
      <c r="A36" s="727"/>
      <c r="B36" s="710">
        <v>1</v>
      </c>
      <c r="C36" s="732" t="s">
        <v>588</v>
      </c>
      <c r="D36" s="733" t="str">
        <f>AHSP!A21</f>
        <v>A.2.2.1.13.b</v>
      </c>
      <c r="E36" s="734">
        <f>BackUp_Data!I87</f>
        <v>1.8719999999999999</v>
      </c>
      <c r="F36" s="485" t="s">
        <v>723</v>
      </c>
      <c r="G36" s="735">
        <f>AHSP!F36</f>
        <v>16387.5</v>
      </c>
      <c r="H36" s="716">
        <f t="shared" ref="H36" si="6">E36*G36</f>
        <v>30677.399999999998</v>
      </c>
    </row>
    <row r="37" spans="1:9" ht="16.8" x14ac:dyDescent="0.3">
      <c r="A37" s="727"/>
      <c r="B37" s="710">
        <f>B36+1</f>
        <v>2</v>
      </c>
      <c r="C37" s="732" t="s">
        <v>592</v>
      </c>
      <c r="D37" s="733" t="str">
        <f>AHSP!A38</f>
        <v>A.2.3.1.1</v>
      </c>
      <c r="E37" s="734">
        <f>BackUp_Data!I90</f>
        <v>0.43056</v>
      </c>
      <c r="F37" s="485" t="s">
        <v>728</v>
      </c>
      <c r="G37" s="735">
        <f>AHSP!F53</f>
        <v>112412.5</v>
      </c>
      <c r="H37" s="716">
        <f t="shared" ref="H37" si="7">E37*G37</f>
        <v>48400.326000000001</v>
      </c>
    </row>
    <row r="38" spans="1:9" ht="16.8" x14ac:dyDescent="0.3">
      <c r="A38" s="727"/>
      <c r="B38" s="710">
        <f>B37+1</f>
        <v>3</v>
      </c>
      <c r="C38" s="732" t="s">
        <v>593</v>
      </c>
      <c r="D38" s="733" t="str">
        <f>AHSP!A404</f>
        <v>A.4.4.1.7</v>
      </c>
      <c r="E38" s="734">
        <f>BackUp_Data!I94</f>
        <v>1.7039999999999997</v>
      </c>
      <c r="F38" s="485" t="s">
        <v>723</v>
      </c>
      <c r="G38" s="735">
        <f>AHSP!F423</f>
        <v>199875.75</v>
      </c>
      <c r="H38" s="716">
        <f t="shared" ref="H38:H39" si="8">E38*G38</f>
        <v>340588.27799999993</v>
      </c>
    </row>
    <row r="39" spans="1:9" ht="16.8" x14ac:dyDescent="0.3">
      <c r="A39" s="727"/>
      <c r="B39" s="710">
        <f>B38+1</f>
        <v>4</v>
      </c>
      <c r="C39" s="732" t="s">
        <v>595</v>
      </c>
      <c r="D39" s="733" t="str">
        <f>AHSP!A281</f>
        <v>A.4.1.1.7a</v>
      </c>
      <c r="E39" s="734">
        <f>BackUp_Data!I97</f>
        <v>0.11232000000000003</v>
      </c>
      <c r="F39" s="485" t="s">
        <v>728</v>
      </c>
      <c r="G39" s="735">
        <f>AHSP!F301</f>
        <v>1638755.75</v>
      </c>
      <c r="H39" s="716">
        <f t="shared" si="8"/>
        <v>184065.04584000006</v>
      </c>
    </row>
    <row r="40" spans="1:9" ht="16.8" x14ac:dyDescent="0.3">
      <c r="A40" s="727"/>
      <c r="B40" s="710">
        <f t="shared" ref="B40:B45" si="9">B39+1</f>
        <v>5</v>
      </c>
      <c r="C40" s="732" t="s">
        <v>597</v>
      </c>
      <c r="D40" s="733" t="str">
        <f>AHSP!A1009</f>
        <v>A. 4.4.3.34a</v>
      </c>
      <c r="E40" s="734">
        <f>BackUp_Data!I102</f>
        <v>7.1580000000000004</v>
      </c>
      <c r="F40" s="485" t="s">
        <v>723</v>
      </c>
      <c r="G40" s="735">
        <f>AHSP!F1029</f>
        <v>296934.21474999998</v>
      </c>
      <c r="H40" s="716">
        <f t="shared" ref="H40:H45" si="10">E40*G40</f>
        <v>2125455.1091804998</v>
      </c>
    </row>
    <row r="41" spans="1:9" ht="16.8" x14ac:dyDescent="0.3">
      <c r="A41" s="727"/>
      <c r="B41" s="710">
        <f t="shared" si="9"/>
        <v>6</v>
      </c>
      <c r="C41" s="732" t="s">
        <v>677</v>
      </c>
      <c r="D41" s="733" t="str">
        <f>AHSP!A1488</f>
        <v>A.5.1.1.20.a</v>
      </c>
      <c r="E41" s="734">
        <v>6</v>
      </c>
      <c r="F41" s="485" t="s">
        <v>726</v>
      </c>
      <c r="G41" s="735">
        <f>AHSP!F1505</f>
        <v>81164.424000000014</v>
      </c>
      <c r="H41" s="716">
        <f t="shared" si="10"/>
        <v>486986.54400000011</v>
      </c>
    </row>
    <row r="42" spans="1:9" ht="16.8" x14ac:dyDescent="0.3">
      <c r="A42" s="727"/>
      <c r="B42" s="710">
        <f t="shared" si="9"/>
        <v>7</v>
      </c>
      <c r="C42" s="732" t="s">
        <v>678</v>
      </c>
      <c r="D42" s="733" t="str">
        <f>AHSP!A1488</f>
        <v>A.5.1.1.20.a</v>
      </c>
      <c r="E42" s="734">
        <v>6</v>
      </c>
      <c r="F42" s="485" t="s">
        <v>726</v>
      </c>
      <c r="G42" s="735">
        <f>AHSP!F1505</f>
        <v>81164.424000000014</v>
      </c>
      <c r="H42" s="716">
        <f t="shared" si="10"/>
        <v>486986.54400000011</v>
      </c>
    </row>
    <row r="43" spans="1:9" ht="16.8" x14ac:dyDescent="0.3">
      <c r="A43" s="727"/>
      <c r="B43" s="710">
        <f t="shared" si="9"/>
        <v>8</v>
      </c>
      <c r="C43" s="732" t="s">
        <v>600</v>
      </c>
      <c r="D43" s="733" t="str">
        <f>AHSP!A1545</f>
        <v>A.5.1.1 31</v>
      </c>
      <c r="E43" s="734">
        <v>6</v>
      </c>
      <c r="F43" s="485" t="s">
        <v>726</v>
      </c>
      <c r="G43" s="735">
        <f>AHSP!F1562</f>
        <v>151489.5</v>
      </c>
      <c r="H43" s="716">
        <f t="shared" ref="H43" si="11">E43*G43</f>
        <v>908937</v>
      </c>
    </row>
    <row r="44" spans="1:9" x14ac:dyDescent="0.3">
      <c r="A44" s="727"/>
      <c r="B44" s="710">
        <f t="shared" si="9"/>
        <v>9</v>
      </c>
      <c r="C44" s="732" t="s">
        <v>601</v>
      </c>
      <c r="D44" s="733" t="str">
        <f>AHSP!A1408</f>
        <v>A.5.1.1.19</v>
      </c>
      <c r="E44" s="734">
        <v>1</v>
      </c>
      <c r="F44" s="485" t="s">
        <v>159</v>
      </c>
      <c r="G44" s="735">
        <f>AHSP!F1426</f>
        <v>291542.25</v>
      </c>
      <c r="H44" s="716">
        <f t="shared" si="10"/>
        <v>291542.25</v>
      </c>
    </row>
    <row r="45" spans="1:9" x14ac:dyDescent="0.3">
      <c r="A45" s="727"/>
      <c r="B45" s="710">
        <f t="shared" si="9"/>
        <v>10</v>
      </c>
      <c r="C45" s="732" t="s">
        <v>602</v>
      </c>
      <c r="D45" s="733" t="str">
        <f>AHSP!A1428</f>
        <v>A.5.1.1.19.c</v>
      </c>
      <c r="E45" s="734">
        <v>1</v>
      </c>
      <c r="F45" s="485" t="s">
        <v>159</v>
      </c>
      <c r="G45" s="735">
        <f>AHSP!F1446</f>
        <v>369960.75</v>
      </c>
      <c r="H45" s="716">
        <f t="shared" si="10"/>
        <v>369960.75</v>
      </c>
    </row>
    <row r="46" spans="1:9" ht="15" thickBot="1" x14ac:dyDescent="0.35">
      <c r="A46" s="727"/>
      <c r="B46" s="710"/>
      <c r="C46" s="732"/>
      <c r="D46" s="486"/>
      <c r="E46" s="734"/>
      <c r="F46" s="485"/>
      <c r="G46" s="735"/>
      <c r="H46" s="716"/>
    </row>
    <row r="47" spans="1:9" ht="15" thickBot="1" x14ac:dyDescent="0.35">
      <c r="A47" s="850" t="s">
        <v>400</v>
      </c>
      <c r="B47" s="851"/>
      <c r="C47" s="851"/>
      <c r="D47" s="851"/>
      <c r="E47" s="851"/>
      <c r="F47" s="851"/>
      <c r="G47" s="852"/>
      <c r="H47" s="718">
        <f>SUM(H36:H46)</f>
        <v>5273599.2470204998</v>
      </c>
    </row>
    <row r="48" spans="1:9" ht="15" thickTop="1" x14ac:dyDescent="0.3">
      <c r="A48" s="719" t="s">
        <v>589</v>
      </c>
      <c r="B48" s="720" t="s">
        <v>574</v>
      </c>
      <c r="C48" s="721"/>
      <c r="D48" s="722"/>
      <c r="E48" s="723"/>
      <c r="F48" s="724"/>
      <c r="G48" s="725"/>
      <c r="H48" s="726"/>
    </row>
    <row r="49" spans="1:8" ht="16.8" x14ac:dyDescent="0.3">
      <c r="A49" s="727"/>
      <c r="B49" s="485">
        <v>1</v>
      </c>
      <c r="C49" s="728" t="s">
        <v>609</v>
      </c>
      <c r="D49" s="485" t="str">
        <f>AHSP!A72</f>
        <v>Hitung 3</v>
      </c>
      <c r="E49" s="729">
        <f>3*0.9*2</f>
        <v>5.4</v>
      </c>
      <c r="F49" s="485" t="s">
        <v>723</v>
      </c>
      <c r="G49" s="730">
        <f>AHSP!F87</f>
        <v>9775</v>
      </c>
      <c r="H49" s="731">
        <f t="shared" ref="H49:H56" si="12">E49*G49</f>
        <v>52785</v>
      </c>
    </row>
    <row r="50" spans="1:8" ht="16.8" x14ac:dyDescent="0.3">
      <c r="A50" s="727"/>
      <c r="B50" s="710">
        <f>B49+1</f>
        <v>2</v>
      </c>
      <c r="C50" s="728" t="s">
        <v>610</v>
      </c>
      <c r="D50" s="710" t="str">
        <f>AHSP!A605</f>
        <v>A.4.2.1.22.01</v>
      </c>
      <c r="E50" s="713">
        <f>BackUp_Data!I105</f>
        <v>36</v>
      </c>
      <c r="F50" s="710" t="s">
        <v>723</v>
      </c>
      <c r="G50" s="715">
        <f>AHSP!F625</f>
        <v>213831</v>
      </c>
      <c r="H50" s="716">
        <f t="shared" si="12"/>
        <v>7697916</v>
      </c>
    </row>
    <row r="51" spans="1:8" ht="16.8" x14ac:dyDescent="0.3">
      <c r="A51" s="727"/>
      <c r="B51" s="710">
        <f t="shared" ref="B51:B59" si="13">B50+1</f>
        <v>3</v>
      </c>
      <c r="C51" s="728" t="s">
        <v>611</v>
      </c>
      <c r="D51" s="710" t="str">
        <f>AHSP!A729</f>
        <v>Taksir.2.pc</v>
      </c>
      <c r="E51" s="713">
        <f>BackUp_Data!I108</f>
        <v>39.519999999999996</v>
      </c>
      <c r="F51" s="710" t="s">
        <v>723</v>
      </c>
      <c r="G51" s="715">
        <f>AHSP!F747</f>
        <v>292226.49999999994</v>
      </c>
      <c r="H51" s="716">
        <f t="shared" si="12"/>
        <v>11548791.279999997</v>
      </c>
    </row>
    <row r="52" spans="1:8" ht="16.8" x14ac:dyDescent="0.3">
      <c r="A52" s="727"/>
      <c r="B52" s="710">
        <f t="shared" si="13"/>
        <v>4</v>
      </c>
      <c r="C52" s="728" t="s">
        <v>612</v>
      </c>
      <c r="D52" s="710" t="str">
        <f>AHSP!A72</f>
        <v>Hitung 3</v>
      </c>
      <c r="E52" s="713">
        <f>BackUp_Data!I120</f>
        <v>578.2399999999999</v>
      </c>
      <c r="F52" s="485" t="s">
        <v>723</v>
      </c>
      <c r="G52" s="715">
        <f>AHSP!F87</f>
        <v>9775</v>
      </c>
      <c r="H52" s="716">
        <f t="shared" si="12"/>
        <v>5652295.9999999991</v>
      </c>
    </row>
    <row r="53" spans="1:8" x14ac:dyDescent="0.3">
      <c r="A53" s="727"/>
      <c r="B53" s="710">
        <f t="shared" si="13"/>
        <v>5</v>
      </c>
      <c r="C53" s="728" t="s">
        <v>655</v>
      </c>
      <c r="D53" s="710" t="str">
        <f>AHSP!A365</f>
        <v>A.4.2.1.2. +</v>
      </c>
      <c r="E53" s="713">
        <f>BackUp_Data!I116</f>
        <v>1954.3333333333333</v>
      </c>
      <c r="F53" s="485" t="s">
        <v>213</v>
      </c>
      <c r="G53" s="715">
        <f>AHSP!F385</f>
        <v>45593.1875</v>
      </c>
      <c r="H53" s="716">
        <f t="shared" si="12"/>
        <v>89104286.104166657</v>
      </c>
    </row>
    <row r="54" spans="1:8" x14ac:dyDescent="0.3">
      <c r="A54" s="727"/>
      <c r="B54" s="710">
        <f t="shared" si="13"/>
        <v>6</v>
      </c>
      <c r="C54" s="728" t="s">
        <v>699</v>
      </c>
      <c r="D54" s="710" t="s">
        <v>35</v>
      </c>
      <c r="E54" s="713">
        <f>13*5</f>
        <v>65</v>
      </c>
      <c r="F54" s="485" t="s">
        <v>700</v>
      </c>
      <c r="G54" s="715">
        <v>77500</v>
      </c>
      <c r="H54" s="716">
        <f t="shared" si="12"/>
        <v>5037500</v>
      </c>
    </row>
    <row r="55" spans="1:8" x14ac:dyDescent="0.3">
      <c r="A55" s="727"/>
      <c r="B55" s="710">
        <f t="shared" si="13"/>
        <v>7</v>
      </c>
      <c r="C55" s="728" t="s">
        <v>701</v>
      </c>
      <c r="D55" s="710" t="s">
        <v>35</v>
      </c>
      <c r="E55" s="713">
        <f>13*5</f>
        <v>65</v>
      </c>
      <c r="F55" s="485" t="s">
        <v>700</v>
      </c>
      <c r="G55" s="715">
        <v>71000</v>
      </c>
      <c r="H55" s="716">
        <f t="shared" ref="H55" si="14">E55*G55</f>
        <v>4615000</v>
      </c>
    </row>
    <row r="56" spans="1:8" ht="16.8" x14ac:dyDescent="0.3">
      <c r="A56" s="727"/>
      <c r="B56" s="710">
        <f t="shared" si="13"/>
        <v>8</v>
      </c>
      <c r="C56" s="728" t="s">
        <v>614</v>
      </c>
      <c r="D56" s="710" t="str">
        <f>AHSP!A729</f>
        <v>Taksir.2.pc</v>
      </c>
      <c r="E56" s="713">
        <f>BackUp_Data!I120</f>
        <v>578.2399999999999</v>
      </c>
      <c r="F56" s="485" t="s">
        <v>723</v>
      </c>
      <c r="G56" s="715">
        <f>AHSP!F747</f>
        <v>292226.49999999994</v>
      </c>
      <c r="H56" s="716">
        <f t="shared" si="12"/>
        <v>168977051.35999992</v>
      </c>
    </row>
    <row r="57" spans="1:8" ht="16.8" x14ac:dyDescent="0.3">
      <c r="A57" s="727"/>
      <c r="B57" s="710">
        <f t="shared" si="13"/>
        <v>9</v>
      </c>
      <c r="C57" s="728" t="s">
        <v>665</v>
      </c>
      <c r="D57" s="710" t="str">
        <f>AHSP!A749</f>
        <v>A.4.5.2.36.nob</v>
      </c>
      <c r="E57" s="713">
        <f>BackUp_Data!I123</f>
        <v>26</v>
      </c>
      <c r="F57" s="485" t="s">
        <v>726</v>
      </c>
      <c r="G57" s="715">
        <f>AHSP!F767</f>
        <v>247221.25</v>
      </c>
      <c r="H57" s="716">
        <f t="shared" ref="H57:H58" si="15">E57*G57</f>
        <v>6427752.5</v>
      </c>
    </row>
    <row r="58" spans="1:8" ht="16.8" x14ac:dyDescent="0.3">
      <c r="A58" s="727"/>
      <c r="B58" s="710">
        <f t="shared" si="13"/>
        <v>10</v>
      </c>
      <c r="C58" s="728" t="s">
        <v>679</v>
      </c>
      <c r="D58" s="710" t="str">
        <f>AHSP!A1097</f>
        <v>A.4.6.1.21.ps</v>
      </c>
      <c r="E58" s="713">
        <f>BackUp_Data!I126</f>
        <v>147.88</v>
      </c>
      <c r="F58" s="485" t="s">
        <v>726</v>
      </c>
      <c r="G58" s="715">
        <f>AHSP!F1115</f>
        <v>90407.25</v>
      </c>
      <c r="H58" s="716">
        <f t="shared" si="15"/>
        <v>13369424.129999999</v>
      </c>
    </row>
    <row r="59" spans="1:8" ht="16.8" x14ac:dyDescent="0.3">
      <c r="A59" s="727"/>
      <c r="B59" s="710">
        <f t="shared" si="13"/>
        <v>11</v>
      </c>
      <c r="C59" s="728" t="s">
        <v>680</v>
      </c>
      <c r="D59" s="710" t="str">
        <f>AHSP!A1282</f>
        <v>A.4.7.1.4</v>
      </c>
      <c r="E59" s="713">
        <f>(E58*0.2)*2</f>
        <v>59.152000000000001</v>
      </c>
      <c r="F59" s="485" t="s">
        <v>723</v>
      </c>
      <c r="G59" s="715">
        <f>AHSP!F1304</f>
        <v>73145</v>
      </c>
      <c r="H59" s="716">
        <f t="shared" ref="H59" si="16">E59*G59</f>
        <v>4326673.04</v>
      </c>
    </row>
    <row r="60" spans="1:8" ht="15" thickBot="1" x14ac:dyDescent="0.35">
      <c r="A60" s="727"/>
      <c r="B60" s="710"/>
      <c r="C60" s="738"/>
      <c r="D60" s="560"/>
      <c r="E60" s="739"/>
      <c r="F60" s="560"/>
      <c r="G60" s="740"/>
      <c r="H60" s="741"/>
    </row>
    <row r="61" spans="1:8" ht="15" thickBot="1" x14ac:dyDescent="0.35">
      <c r="A61" s="850" t="s">
        <v>401</v>
      </c>
      <c r="B61" s="851"/>
      <c r="C61" s="851"/>
      <c r="D61" s="851"/>
      <c r="E61" s="851"/>
      <c r="F61" s="851"/>
      <c r="G61" s="852"/>
      <c r="H61" s="718">
        <f>SUM(H49:H60)</f>
        <v>316809475.41416663</v>
      </c>
    </row>
    <row r="62" spans="1:8" ht="15" thickTop="1" x14ac:dyDescent="0.3">
      <c r="A62" s="719" t="s">
        <v>402</v>
      </c>
      <c r="B62" s="720" t="s">
        <v>616</v>
      </c>
      <c r="C62" s="721"/>
      <c r="D62" s="722"/>
      <c r="E62" s="723"/>
      <c r="F62" s="724"/>
      <c r="G62" s="725"/>
      <c r="H62" s="726"/>
    </row>
    <row r="63" spans="1:8" ht="16.8" x14ac:dyDescent="0.3">
      <c r="A63" s="727"/>
      <c r="B63" s="733">
        <v>1</v>
      </c>
      <c r="C63" s="732" t="s">
        <v>729</v>
      </c>
      <c r="D63" s="742" t="str">
        <f>AHSP!A1488</f>
        <v>A.5.1.1.20.a</v>
      </c>
      <c r="E63" s="734">
        <f>BackUp_Data!I129</f>
        <v>64.8</v>
      </c>
      <c r="F63" s="485" t="s">
        <v>726</v>
      </c>
      <c r="G63" s="735">
        <f>AHSP!F1505</f>
        <v>81164.424000000014</v>
      </c>
      <c r="H63" s="716">
        <f t="shared" ref="H63:H66" si="17">E63*G63</f>
        <v>5259454.6752000004</v>
      </c>
    </row>
    <row r="64" spans="1:8" x14ac:dyDescent="0.3">
      <c r="A64" s="727"/>
      <c r="B64" s="710">
        <f t="shared" ref="B64:B66" si="18">B63+1</f>
        <v>2</v>
      </c>
      <c r="C64" s="743" t="s">
        <v>730</v>
      </c>
      <c r="D64" s="733" t="str">
        <f>AHSP!A1448</f>
        <v>A.5.1.1.19.sp</v>
      </c>
      <c r="E64" s="734">
        <f>BackUp_Data!I132</f>
        <v>16</v>
      </c>
      <c r="F64" s="486" t="s">
        <v>236</v>
      </c>
      <c r="G64" s="735">
        <f>AHSP!F1466</f>
        <v>172620.75</v>
      </c>
      <c r="H64" s="716">
        <f t="shared" si="17"/>
        <v>2761932</v>
      </c>
    </row>
    <row r="65" spans="1:8" ht="16.8" x14ac:dyDescent="0.3">
      <c r="A65" s="727"/>
      <c r="B65" s="710">
        <f t="shared" si="18"/>
        <v>3</v>
      </c>
      <c r="C65" s="744" t="s">
        <v>731</v>
      </c>
      <c r="D65" s="733" t="str">
        <f>AHSP!A1507</f>
        <v>A.5.1.1.21.</v>
      </c>
      <c r="E65" s="734">
        <f>6+(20.5*2)</f>
        <v>47</v>
      </c>
      <c r="F65" s="485" t="s">
        <v>726</v>
      </c>
      <c r="G65" s="735">
        <f>AHSP!F1524</f>
        <v>121677.49800000001</v>
      </c>
      <c r="H65" s="716">
        <f t="shared" si="17"/>
        <v>5718842.4060000004</v>
      </c>
    </row>
    <row r="66" spans="1:8" x14ac:dyDescent="0.3">
      <c r="A66" s="727"/>
      <c r="B66" s="710">
        <f t="shared" si="18"/>
        <v>4</v>
      </c>
      <c r="C66" s="744" t="s">
        <v>628</v>
      </c>
      <c r="D66" s="733" t="str">
        <f>AHSP!A1468</f>
        <v>A.5.1.1.19.bp</v>
      </c>
      <c r="E66" s="734">
        <v>2</v>
      </c>
      <c r="F66" s="486" t="s">
        <v>236</v>
      </c>
      <c r="G66" s="735">
        <f>AHSP!F1486</f>
        <v>10351104</v>
      </c>
      <c r="H66" s="716">
        <f t="shared" si="17"/>
        <v>20702208</v>
      </c>
    </row>
    <row r="67" spans="1:8" x14ac:dyDescent="0.3">
      <c r="A67" s="727"/>
      <c r="B67" s="733"/>
      <c r="C67" s="743" t="s">
        <v>629</v>
      </c>
      <c r="D67" s="733"/>
      <c r="E67" s="734"/>
      <c r="F67" s="486"/>
      <c r="G67" s="735"/>
      <c r="H67" s="716"/>
    </row>
    <row r="68" spans="1:8" ht="15" thickBot="1" x14ac:dyDescent="0.35">
      <c r="A68" s="727"/>
      <c r="B68" s="733"/>
      <c r="C68" s="738"/>
      <c r="D68" s="733"/>
      <c r="E68" s="734"/>
      <c r="F68" s="486"/>
      <c r="G68" s="735"/>
      <c r="H68" s="716"/>
    </row>
    <row r="69" spans="1:8" ht="15" thickBot="1" x14ac:dyDescent="0.35">
      <c r="A69" s="850" t="s">
        <v>403</v>
      </c>
      <c r="B69" s="851"/>
      <c r="C69" s="851"/>
      <c r="D69" s="851"/>
      <c r="E69" s="851"/>
      <c r="F69" s="851"/>
      <c r="G69" s="852"/>
      <c r="H69" s="718">
        <f>SUM(H63:H68)</f>
        <v>34442437.081200004</v>
      </c>
    </row>
    <row r="70" spans="1:8" x14ac:dyDescent="0.3">
      <c r="A70" s="745" t="s">
        <v>451</v>
      </c>
      <c r="B70" s="746" t="s">
        <v>335</v>
      </c>
      <c r="C70" s="747"/>
      <c r="D70" s="748"/>
      <c r="E70" s="749"/>
      <c r="F70" s="750"/>
      <c r="G70" s="751"/>
      <c r="H70" s="752"/>
    </row>
    <row r="71" spans="1:8" x14ac:dyDescent="0.3">
      <c r="A71" s="727"/>
      <c r="B71" s="710">
        <v>1</v>
      </c>
      <c r="C71" s="732" t="s">
        <v>316</v>
      </c>
      <c r="D71" s="710" t="s">
        <v>35</v>
      </c>
      <c r="E71" s="713">
        <v>1</v>
      </c>
      <c r="F71" s="710" t="s">
        <v>35</v>
      </c>
      <c r="G71" s="715">
        <v>1200000</v>
      </c>
      <c r="H71" s="716">
        <f t="shared" ref="H71" si="19">E71*G71</f>
        <v>1200000</v>
      </c>
    </row>
    <row r="72" spans="1:8" x14ac:dyDescent="0.3">
      <c r="A72" s="709"/>
      <c r="B72" s="733"/>
      <c r="C72" s="744" t="s">
        <v>357</v>
      </c>
      <c r="D72" s="733"/>
      <c r="E72" s="734"/>
      <c r="F72" s="733"/>
      <c r="G72" s="735"/>
      <c r="H72" s="753"/>
    </row>
    <row r="73" spans="1:8" ht="15" thickBot="1" x14ac:dyDescent="0.35">
      <c r="A73" s="709"/>
      <c r="B73" s="733"/>
      <c r="C73" s="744"/>
      <c r="D73" s="733"/>
      <c r="E73" s="734"/>
      <c r="F73" s="733"/>
      <c r="G73" s="735"/>
      <c r="H73" s="753"/>
    </row>
    <row r="74" spans="1:8" ht="15" thickBot="1" x14ac:dyDescent="0.35">
      <c r="A74" s="850" t="s">
        <v>563</v>
      </c>
      <c r="B74" s="851"/>
      <c r="C74" s="851"/>
      <c r="D74" s="851"/>
      <c r="E74" s="851"/>
      <c r="F74" s="851"/>
      <c r="G74" s="852"/>
      <c r="H74" s="718">
        <f>SUM(H71:H73)</f>
        <v>1200000</v>
      </c>
    </row>
    <row r="75" spans="1:8" x14ac:dyDescent="0.3">
      <c r="A75" s="745" t="s">
        <v>565</v>
      </c>
      <c r="B75" s="746" t="s">
        <v>566</v>
      </c>
      <c r="C75" s="747"/>
      <c r="D75" s="748"/>
      <c r="E75" s="749"/>
      <c r="F75" s="750"/>
      <c r="G75" s="751"/>
      <c r="H75" s="752"/>
    </row>
    <row r="76" spans="1:8" x14ac:dyDescent="0.3">
      <c r="A76" s="727"/>
      <c r="B76" s="710">
        <v>1</v>
      </c>
      <c r="C76" s="744" t="s">
        <v>567</v>
      </c>
      <c r="D76" s="710" t="s">
        <v>35</v>
      </c>
      <c r="E76" s="713">
        <v>5</v>
      </c>
      <c r="F76" s="710" t="s">
        <v>398</v>
      </c>
      <c r="G76" s="715">
        <v>325000</v>
      </c>
      <c r="H76" s="716">
        <f t="shared" ref="H76:H77" si="20">E76*G76</f>
        <v>1625000</v>
      </c>
    </row>
    <row r="77" spans="1:8" x14ac:dyDescent="0.3">
      <c r="A77" s="709"/>
      <c r="B77" s="733">
        <v>2</v>
      </c>
      <c r="C77" s="744" t="s">
        <v>568</v>
      </c>
      <c r="D77" s="733" t="s">
        <v>35</v>
      </c>
      <c r="E77" s="734">
        <v>5</v>
      </c>
      <c r="F77" s="733" t="s">
        <v>398</v>
      </c>
      <c r="G77" s="735">
        <v>460000</v>
      </c>
      <c r="H77" s="716">
        <f t="shared" si="20"/>
        <v>2300000</v>
      </c>
    </row>
    <row r="78" spans="1:8" x14ac:dyDescent="0.3">
      <c r="A78" s="709"/>
      <c r="B78" s="733">
        <v>3</v>
      </c>
      <c r="C78" s="744" t="s">
        <v>732</v>
      </c>
      <c r="D78" s="733" t="s">
        <v>35</v>
      </c>
      <c r="E78" s="734">
        <v>5</v>
      </c>
      <c r="F78" s="733" t="s">
        <v>398</v>
      </c>
      <c r="G78" s="735">
        <v>550000</v>
      </c>
      <c r="H78" s="716">
        <f t="shared" ref="H78" si="21">E78*G78</f>
        <v>2750000</v>
      </c>
    </row>
    <row r="79" spans="1:8" ht="15" thickBot="1" x14ac:dyDescent="0.35">
      <c r="A79" s="709"/>
      <c r="B79" s="560"/>
      <c r="C79" s="754"/>
      <c r="D79" s="560"/>
      <c r="E79" s="739"/>
      <c r="F79" s="755"/>
      <c r="G79" s="740"/>
      <c r="H79" s="753"/>
    </row>
    <row r="80" spans="1:8" ht="15" thickBot="1" x14ac:dyDescent="0.35">
      <c r="A80" s="850" t="s">
        <v>564</v>
      </c>
      <c r="B80" s="851"/>
      <c r="C80" s="851"/>
      <c r="D80" s="851"/>
      <c r="E80" s="851"/>
      <c r="F80" s="851"/>
      <c r="G80" s="852"/>
      <c r="H80" s="718">
        <f>SUM(H76:H79)</f>
        <v>6675000</v>
      </c>
    </row>
    <row r="81" spans="1:8" x14ac:dyDescent="0.3">
      <c r="A81" s="684"/>
      <c r="B81" s="685"/>
      <c r="C81" s="756"/>
      <c r="D81" s="685"/>
      <c r="E81" s="686"/>
      <c r="F81" s="684"/>
      <c r="G81" s="687"/>
      <c r="H81" s="687"/>
    </row>
    <row r="82" spans="1:8" x14ac:dyDescent="0.3">
      <c r="A82" s="684"/>
      <c r="B82" s="685"/>
      <c r="C82" s="756"/>
      <c r="D82" s="685"/>
      <c r="E82" s="686"/>
      <c r="F82" s="684"/>
      <c r="G82" s="687"/>
      <c r="H82" s="687"/>
    </row>
    <row r="83" spans="1:8" x14ac:dyDescent="0.3">
      <c r="A83" s="684"/>
      <c r="B83" s="685"/>
      <c r="C83" s="756"/>
      <c r="D83" s="685"/>
      <c r="E83" s="686"/>
      <c r="F83" s="684"/>
      <c r="G83" s="687"/>
      <c r="H83" s="687"/>
    </row>
    <row r="84" spans="1:8" x14ac:dyDescent="0.3">
      <c r="A84" s="684"/>
      <c r="B84" s="685"/>
      <c r="C84" s="756"/>
      <c r="D84" s="685"/>
      <c r="E84" s="686"/>
      <c r="F84" s="684"/>
      <c r="G84" s="687"/>
      <c r="H84" s="687"/>
    </row>
    <row r="85" spans="1:8" x14ac:dyDescent="0.3">
      <c r="A85" s="684"/>
      <c r="B85" s="685"/>
      <c r="C85" s="756"/>
      <c r="D85" s="685"/>
      <c r="E85" s="686"/>
      <c r="F85" s="684"/>
      <c r="G85" s="687"/>
      <c r="H85" s="687"/>
    </row>
    <row r="86" spans="1:8" x14ac:dyDescent="0.3">
      <c r="A86" s="684"/>
      <c r="B86" s="685"/>
      <c r="C86" s="756"/>
      <c r="D86" s="685"/>
      <c r="E86" s="686"/>
      <c r="F86" s="684"/>
      <c r="G86" s="687"/>
      <c r="H86" s="687"/>
    </row>
    <row r="87" spans="1:8" x14ac:dyDescent="0.3">
      <c r="A87" s="684"/>
      <c r="B87" s="685"/>
      <c r="C87" s="756"/>
      <c r="D87" s="685"/>
      <c r="E87" s="686"/>
      <c r="F87" s="684"/>
      <c r="G87" s="687"/>
      <c r="H87" s="687"/>
    </row>
    <row r="88" spans="1:8" x14ac:dyDescent="0.3">
      <c r="A88" s="684"/>
      <c r="B88" s="685"/>
      <c r="C88" s="756"/>
      <c r="D88" s="685"/>
      <c r="E88" s="686"/>
      <c r="F88" s="684"/>
      <c r="G88" s="687"/>
      <c r="H88" s="687"/>
    </row>
    <row r="89" spans="1:8" x14ac:dyDescent="0.3">
      <c r="A89" s="684"/>
      <c r="B89" s="685"/>
      <c r="C89" s="756"/>
      <c r="D89" s="685"/>
      <c r="E89" s="686"/>
      <c r="F89" s="684"/>
      <c r="G89" s="687"/>
      <c r="H89" s="687"/>
    </row>
    <row r="90" spans="1:8" x14ac:dyDescent="0.3">
      <c r="A90" s="684"/>
      <c r="B90" s="685"/>
      <c r="C90" s="756"/>
      <c r="D90" s="685"/>
      <c r="E90" s="686"/>
      <c r="F90" s="684"/>
      <c r="G90" s="687"/>
      <c r="H90" s="687"/>
    </row>
    <row r="91" spans="1:8" x14ac:dyDescent="0.3">
      <c r="A91" s="684"/>
      <c r="B91" s="685"/>
      <c r="C91" s="756"/>
      <c r="D91" s="685"/>
      <c r="E91" s="686"/>
      <c r="F91" s="684"/>
      <c r="G91" s="687"/>
      <c r="H91" s="687"/>
    </row>
    <row r="92" spans="1:8" x14ac:dyDescent="0.3">
      <c r="A92" s="684"/>
      <c r="B92" s="685"/>
      <c r="C92" s="756"/>
      <c r="D92" s="685"/>
      <c r="E92" s="686"/>
      <c r="F92" s="684"/>
      <c r="G92" s="687"/>
      <c r="H92" s="687"/>
    </row>
    <row r="93" spans="1:8" x14ac:dyDescent="0.3">
      <c r="A93" s="684"/>
      <c r="B93" s="685"/>
      <c r="C93" s="756"/>
      <c r="D93" s="685"/>
      <c r="E93" s="686"/>
      <c r="F93" s="684"/>
      <c r="G93" s="687"/>
      <c r="H93" s="687"/>
    </row>
    <row r="94" spans="1:8" x14ac:dyDescent="0.3">
      <c r="A94" s="684"/>
      <c r="B94" s="685"/>
      <c r="C94" s="756"/>
      <c r="D94" s="685"/>
      <c r="E94" s="686"/>
      <c r="F94" s="684"/>
      <c r="G94" s="687"/>
      <c r="H94" s="687"/>
    </row>
    <row r="95" spans="1:8" x14ac:dyDescent="0.3">
      <c r="A95" s="684"/>
      <c r="B95" s="685"/>
      <c r="C95" s="756"/>
      <c r="D95" s="685"/>
      <c r="E95" s="686"/>
      <c r="F95" s="684"/>
      <c r="G95" s="687"/>
      <c r="H95" s="687"/>
    </row>
    <row r="96" spans="1:8" x14ac:dyDescent="0.3">
      <c r="A96" s="684"/>
      <c r="B96" s="685"/>
      <c r="C96" s="756"/>
      <c r="D96" s="685"/>
      <c r="E96" s="686"/>
      <c r="F96" s="684"/>
      <c r="G96" s="687"/>
      <c r="H96" s="687"/>
    </row>
    <row r="97" spans="1:8" x14ac:dyDescent="0.3">
      <c r="A97" s="684"/>
      <c r="B97" s="685"/>
      <c r="C97" s="756"/>
      <c r="D97" s="685"/>
      <c r="E97" s="686"/>
      <c r="F97" s="684"/>
      <c r="G97" s="687"/>
      <c r="H97" s="687"/>
    </row>
    <row r="98" spans="1:8" x14ac:dyDescent="0.3">
      <c r="A98" s="684"/>
      <c r="B98" s="685"/>
      <c r="C98" s="756"/>
      <c r="D98" s="685"/>
      <c r="E98" s="686"/>
      <c r="F98" s="684"/>
      <c r="G98" s="687"/>
      <c r="H98" s="687"/>
    </row>
    <row r="99" spans="1:8" x14ac:dyDescent="0.3">
      <c r="A99" s="684"/>
      <c r="B99" s="685"/>
      <c r="C99" s="756"/>
      <c r="D99" s="685"/>
      <c r="E99" s="686"/>
      <c r="F99" s="684"/>
      <c r="G99" s="687"/>
      <c r="H99" s="687"/>
    </row>
    <row r="100" spans="1:8" x14ac:dyDescent="0.3">
      <c r="A100" s="684"/>
      <c r="B100" s="685"/>
      <c r="C100" s="756"/>
      <c r="D100" s="685"/>
      <c r="E100" s="686"/>
      <c r="F100" s="684"/>
      <c r="G100" s="687"/>
      <c r="H100" s="687"/>
    </row>
    <row r="101" spans="1:8" x14ac:dyDescent="0.3">
      <c r="A101" s="684"/>
      <c r="B101" s="685"/>
      <c r="C101" s="756"/>
      <c r="D101" s="685"/>
      <c r="E101" s="686"/>
      <c r="F101" s="684"/>
      <c r="G101" s="687"/>
      <c r="H101" s="687"/>
    </row>
    <row r="102" spans="1:8" x14ac:dyDescent="0.3">
      <c r="A102" s="684"/>
      <c r="B102" s="685"/>
      <c r="C102" s="756"/>
      <c r="D102" s="685"/>
      <c r="E102" s="686"/>
      <c r="F102" s="684"/>
      <c r="G102" s="687"/>
      <c r="H102" s="687"/>
    </row>
    <row r="103" spans="1:8" x14ac:dyDescent="0.3">
      <c r="A103" s="684"/>
      <c r="B103" s="685"/>
      <c r="C103" s="756"/>
      <c r="D103" s="685"/>
      <c r="E103" s="686"/>
      <c r="F103" s="684"/>
      <c r="G103" s="687"/>
      <c r="H103" s="687"/>
    </row>
    <row r="104" spans="1:8" x14ac:dyDescent="0.3">
      <c r="A104" s="684"/>
      <c r="B104" s="685"/>
      <c r="C104" s="756"/>
      <c r="D104" s="685"/>
      <c r="E104" s="686"/>
      <c r="F104" s="684"/>
      <c r="G104" s="687"/>
      <c r="H104" s="687"/>
    </row>
    <row r="105" spans="1:8" x14ac:dyDescent="0.3">
      <c r="A105" s="684"/>
      <c r="B105" s="685"/>
      <c r="C105" s="756"/>
      <c r="D105" s="685"/>
      <c r="E105" s="686"/>
      <c r="F105" s="684"/>
      <c r="G105" s="687"/>
      <c r="H105" s="687"/>
    </row>
    <row r="106" spans="1:8" x14ac:dyDescent="0.3">
      <c r="A106" s="684"/>
      <c r="B106" s="685"/>
      <c r="C106" s="756"/>
      <c r="D106" s="685"/>
      <c r="E106" s="686"/>
      <c r="F106" s="684"/>
      <c r="G106" s="687"/>
      <c r="H106" s="687"/>
    </row>
    <row r="107" spans="1:8" x14ac:dyDescent="0.3">
      <c r="A107" s="684"/>
      <c r="B107" s="685"/>
      <c r="C107" s="756"/>
      <c r="D107" s="685"/>
      <c r="E107" s="686"/>
      <c r="F107" s="684"/>
      <c r="G107" s="687"/>
      <c r="H107" s="687"/>
    </row>
    <row r="108" spans="1:8" x14ac:dyDescent="0.3">
      <c r="A108" s="684"/>
      <c r="B108" s="685"/>
      <c r="C108" s="756"/>
      <c r="D108" s="685"/>
      <c r="E108" s="686"/>
      <c r="F108" s="684"/>
      <c r="G108" s="687"/>
      <c r="H108" s="687"/>
    </row>
    <row r="109" spans="1:8" x14ac:dyDescent="0.3">
      <c r="A109" s="684"/>
      <c r="B109" s="685"/>
      <c r="C109" s="756"/>
      <c r="D109" s="685"/>
      <c r="E109" s="686"/>
      <c r="F109" s="684"/>
      <c r="G109" s="687"/>
      <c r="H109" s="687"/>
    </row>
    <row r="110" spans="1:8" x14ac:dyDescent="0.3">
      <c r="A110" s="684"/>
      <c r="B110" s="685"/>
      <c r="C110" s="756"/>
      <c r="D110" s="685"/>
      <c r="E110" s="686"/>
      <c r="F110" s="684"/>
      <c r="G110" s="687"/>
      <c r="H110" s="687"/>
    </row>
    <row r="111" spans="1:8" x14ac:dyDescent="0.3">
      <c r="A111" s="684"/>
      <c r="B111" s="685"/>
      <c r="C111" s="756"/>
      <c r="D111" s="685"/>
      <c r="E111" s="686"/>
      <c r="F111" s="684"/>
      <c r="G111" s="687"/>
      <c r="H111" s="687"/>
    </row>
    <row r="112" spans="1:8" x14ac:dyDescent="0.3">
      <c r="A112" s="684"/>
      <c r="B112" s="685"/>
      <c r="C112" s="756"/>
      <c r="D112" s="685"/>
      <c r="E112" s="686"/>
      <c r="F112" s="684"/>
      <c r="G112" s="687"/>
      <c r="H112" s="687"/>
    </row>
    <row r="113" spans="1:8" x14ac:dyDescent="0.3">
      <c r="A113" s="684"/>
      <c r="B113" s="685"/>
      <c r="C113" s="756"/>
      <c r="D113" s="685"/>
      <c r="E113" s="686"/>
      <c r="F113" s="684"/>
      <c r="G113" s="687"/>
      <c r="H113" s="687"/>
    </row>
    <row r="114" spans="1:8" x14ac:dyDescent="0.3">
      <c r="A114" s="684"/>
      <c r="B114" s="685"/>
      <c r="C114" s="756"/>
      <c r="D114" s="685"/>
      <c r="E114" s="686"/>
      <c r="F114" s="684"/>
      <c r="G114" s="687"/>
      <c r="H114" s="687"/>
    </row>
    <row r="115" spans="1:8" x14ac:dyDescent="0.3">
      <c r="A115" s="684"/>
      <c r="B115" s="685"/>
      <c r="C115" s="756"/>
      <c r="D115" s="685"/>
      <c r="E115" s="686"/>
      <c r="F115" s="684"/>
      <c r="G115" s="687"/>
      <c r="H115" s="687"/>
    </row>
    <row r="116" spans="1:8" x14ac:dyDescent="0.3">
      <c r="A116" s="684"/>
      <c r="B116" s="685"/>
      <c r="C116" s="756"/>
      <c r="D116" s="685"/>
      <c r="E116" s="686"/>
      <c r="F116" s="684"/>
      <c r="G116" s="687"/>
      <c r="H116" s="687"/>
    </row>
    <row r="117" spans="1:8" x14ac:dyDescent="0.3">
      <c r="A117" s="684"/>
      <c r="B117" s="685"/>
      <c r="C117" s="756"/>
      <c r="D117" s="685"/>
      <c r="E117" s="686"/>
      <c r="F117" s="684"/>
      <c r="G117" s="687"/>
      <c r="H117" s="687"/>
    </row>
    <row r="118" spans="1:8" x14ac:dyDescent="0.3">
      <c r="A118" s="684"/>
      <c r="B118" s="685"/>
      <c r="C118" s="756"/>
      <c r="D118" s="685"/>
      <c r="E118" s="686"/>
      <c r="F118" s="684"/>
      <c r="G118" s="687"/>
      <c r="H118" s="687"/>
    </row>
    <row r="119" spans="1:8" x14ac:dyDescent="0.3">
      <c r="A119" s="684"/>
      <c r="B119" s="685"/>
      <c r="C119" s="756"/>
      <c r="D119" s="685"/>
      <c r="E119" s="686"/>
      <c r="F119" s="684"/>
      <c r="G119" s="687"/>
      <c r="H119" s="687"/>
    </row>
    <row r="120" spans="1:8" x14ac:dyDescent="0.3">
      <c r="A120" s="684"/>
      <c r="B120" s="685"/>
      <c r="C120" s="756"/>
      <c r="D120" s="685"/>
      <c r="E120" s="686"/>
      <c r="F120" s="684"/>
      <c r="G120" s="687"/>
      <c r="H120" s="687"/>
    </row>
    <row r="121" spans="1:8" x14ac:dyDescent="0.3">
      <c r="A121" s="684"/>
      <c r="B121" s="685"/>
      <c r="C121" s="756"/>
      <c r="D121" s="685"/>
      <c r="E121" s="686"/>
      <c r="F121" s="684"/>
      <c r="G121" s="687"/>
      <c r="H121" s="687"/>
    </row>
    <row r="122" spans="1:8" x14ac:dyDescent="0.3">
      <c r="A122" s="684"/>
      <c r="B122" s="685"/>
      <c r="C122" s="756"/>
      <c r="D122" s="685"/>
      <c r="E122" s="686"/>
      <c r="F122" s="684"/>
      <c r="G122" s="687"/>
      <c r="H122" s="687"/>
    </row>
    <row r="123" spans="1:8" x14ac:dyDescent="0.3">
      <c r="A123" s="684"/>
      <c r="B123" s="685"/>
      <c r="C123" s="756"/>
      <c r="D123" s="685"/>
      <c r="E123" s="686"/>
      <c r="F123" s="684"/>
      <c r="G123" s="687"/>
      <c r="H123" s="687"/>
    </row>
    <row r="124" spans="1:8" x14ac:dyDescent="0.3">
      <c r="A124" s="684"/>
      <c r="B124" s="685"/>
      <c r="C124" s="756"/>
      <c r="D124" s="685"/>
      <c r="E124" s="686"/>
      <c r="F124" s="684"/>
      <c r="G124" s="687"/>
      <c r="H124" s="687"/>
    </row>
    <row r="125" spans="1:8" x14ac:dyDescent="0.3">
      <c r="A125" s="684"/>
      <c r="B125" s="685"/>
      <c r="C125" s="756"/>
      <c r="D125" s="685"/>
      <c r="E125" s="686"/>
      <c r="F125" s="684"/>
      <c r="G125" s="687"/>
      <c r="H125" s="687"/>
    </row>
    <row r="126" spans="1:8" x14ac:dyDescent="0.3">
      <c r="A126" s="684"/>
      <c r="B126" s="685"/>
      <c r="C126" s="756"/>
      <c r="D126" s="685"/>
      <c r="E126" s="686"/>
      <c r="F126" s="684"/>
      <c r="G126" s="687"/>
      <c r="H126" s="687"/>
    </row>
    <row r="127" spans="1:8" x14ac:dyDescent="0.3">
      <c r="A127" s="684"/>
      <c r="B127" s="685"/>
      <c r="C127" s="756"/>
      <c r="D127" s="685"/>
      <c r="E127" s="686"/>
      <c r="F127" s="684"/>
      <c r="G127" s="687"/>
      <c r="H127" s="687"/>
    </row>
    <row r="128" spans="1:8" x14ac:dyDescent="0.3">
      <c r="A128" s="684"/>
      <c r="B128" s="685"/>
      <c r="C128" s="756"/>
      <c r="D128" s="685"/>
      <c r="E128" s="686"/>
      <c r="F128" s="684"/>
      <c r="G128" s="687"/>
      <c r="H128" s="687"/>
    </row>
    <row r="129" spans="1:8" x14ac:dyDescent="0.3">
      <c r="A129" s="684"/>
      <c r="B129" s="685"/>
      <c r="C129" s="756"/>
      <c r="D129" s="685"/>
      <c r="E129" s="686"/>
      <c r="F129" s="684"/>
      <c r="G129" s="687"/>
      <c r="H129" s="687"/>
    </row>
    <row r="130" spans="1:8" x14ac:dyDescent="0.3">
      <c r="A130" s="684"/>
      <c r="B130" s="685"/>
      <c r="C130" s="756"/>
      <c r="D130" s="685"/>
      <c r="E130" s="686"/>
      <c r="F130" s="684"/>
      <c r="G130" s="687"/>
      <c r="H130" s="687"/>
    </row>
    <row r="131" spans="1:8" x14ac:dyDescent="0.3">
      <c r="A131" s="684"/>
      <c r="B131" s="685"/>
      <c r="C131" s="756"/>
      <c r="D131" s="685"/>
      <c r="E131" s="686"/>
      <c r="F131" s="684"/>
      <c r="G131" s="687"/>
      <c r="H131" s="687"/>
    </row>
    <row r="132" spans="1:8" x14ac:dyDescent="0.3">
      <c r="A132" s="684"/>
      <c r="B132" s="685"/>
      <c r="C132" s="756"/>
      <c r="D132" s="685"/>
      <c r="E132" s="686"/>
      <c r="F132" s="684"/>
      <c r="G132" s="687"/>
      <c r="H132" s="687"/>
    </row>
    <row r="133" spans="1:8" x14ac:dyDescent="0.3">
      <c r="A133" s="684"/>
      <c r="B133" s="685"/>
      <c r="C133" s="756"/>
      <c r="D133" s="685"/>
      <c r="E133" s="686"/>
      <c r="F133" s="684"/>
      <c r="G133" s="687"/>
      <c r="H133" s="687"/>
    </row>
    <row r="134" spans="1:8" x14ac:dyDescent="0.3">
      <c r="A134" s="684"/>
      <c r="B134" s="685"/>
      <c r="C134" s="756"/>
      <c r="D134" s="685"/>
      <c r="E134" s="686"/>
      <c r="F134" s="684"/>
      <c r="G134" s="687"/>
      <c r="H134" s="687"/>
    </row>
    <row r="135" spans="1:8" x14ac:dyDescent="0.3">
      <c r="A135" s="684"/>
      <c r="B135" s="685"/>
      <c r="C135" s="756"/>
      <c r="D135" s="685"/>
      <c r="E135" s="686"/>
      <c r="F135" s="684"/>
      <c r="G135" s="687"/>
      <c r="H135" s="687"/>
    </row>
    <row r="136" spans="1:8" x14ac:dyDescent="0.3">
      <c r="A136" s="684"/>
      <c r="B136" s="685"/>
      <c r="C136" s="756"/>
      <c r="D136" s="685"/>
      <c r="E136" s="686"/>
      <c r="F136" s="684"/>
      <c r="G136" s="687"/>
      <c r="H136" s="687"/>
    </row>
    <row r="137" spans="1:8" x14ac:dyDescent="0.3">
      <c r="A137" s="684"/>
      <c r="B137" s="685"/>
      <c r="C137" s="756"/>
      <c r="D137" s="685"/>
      <c r="E137" s="686"/>
      <c r="F137" s="684"/>
      <c r="G137" s="687"/>
      <c r="H137" s="687"/>
    </row>
    <row r="138" spans="1:8" x14ac:dyDescent="0.3">
      <c r="A138" s="684"/>
      <c r="B138" s="685"/>
      <c r="C138" s="756"/>
      <c r="D138" s="685"/>
      <c r="E138" s="686"/>
      <c r="F138" s="684"/>
      <c r="G138" s="687"/>
      <c r="H138" s="687"/>
    </row>
    <row r="139" spans="1:8" x14ac:dyDescent="0.3">
      <c r="A139" s="684"/>
      <c r="B139" s="685"/>
      <c r="C139" s="756"/>
      <c r="D139" s="685"/>
      <c r="E139" s="686"/>
      <c r="F139" s="684"/>
      <c r="G139" s="687"/>
      <c r="H139" s="687"/>
    </row>
    <row r="140" spans="1:8" x14ac:dyDescent="0.3">
      <c r="A140" s="684"/>
      <c r="B140" s="685"/>
      <c r="C140" s="756"/>
      <c r="D140" s="685"/>
      <c r="E140" s="686"/>
      <c r="F140" s="684"/>
      <c r="G140" s="687"/>
      <c r="H140" s="687"/>
    </row>
    <row r="141" spans="1:8" x14ac:dyDescent="0.3">
      <c r="A141" s="684"/>
      <c r="B141" s="685"/>
      <c r="C141" s="756"/>
      <c r="D141" s="685"/>
      <c r="E141" s="686"/>
      <c r="F141" s="684"/>
      <c r="G141" s="687"/>
      <c r="H141" s="687"/>
    </row>
    <row r="142" spans="1:8" x14ac:dyDescent="0.3">
      <c r="A142" s="684"/>
      <c r="B142" s="685"/>
      <c r="C142" s="756"/>
      <c r="D142" s="685"/>
      <c r="E142" s="686"/>
      <c r="F142" s="684"/>
      <c r="G142" s="687"/>
      <c r="H142" s="687"/>
    </row>
    <row r="143" spans="1:8" x14ac:dyDescent="0.3">
      <c r="A143" s="684"/>
      <c r="B143" s="685"/>
      <c r="C143" s="756"/>
      <c r="D143" s="685"/>
      <c r="E143" s="686"/>
      <c r="F143" s="684"/>
      <c r="G143" s="687"/>
      <c r="H143" s="687"/>
    </row>
    <row r="144" spans="1:8" x14ac:dyDescent="0.3">
      <c r="A144" s="684"/>
      <c r="B144" s="685"/>
      <c r="C144" s="756"/>
      <c r="D144" s="685"/>
      <c r="E144" s="686"/>
      <c r="F144" s="684"/>
      <c r="G144" s="687"/>
      <c r="H144" s="687"/>
    </row>
    <row r="145" spans="1:8" x14ac:dyDescent="0.3">
      <c r="A145" s="684"/>
      <c r="B145" s="685"/>
      <c r="C145" s="756"/>
      <c r="D145" s="685"/>
      <c r="E145" s="686"/>
      <c r="F145" s="684"/>
      <c r="G145" s="687"/>
      <c r="H145" s="687"/>
    </row>
    <row r="146" spans="1:8" x14ac:dyDescent="0.3">
      <c r="A146" s="684"/>
      <c r="B146" s="685"/>
      <c r="C146" s="756"/>
      <c r="D146" s="685"/>
      <c r="E146" s="686"/>
      <c r="F146" s="684"/>
      <c r="G146" s="687"/>
      <c r="H146" s="687"/>
    </row>
    <row r="147" spans="1:8" x14ac:dyDescent="0.3">
      <c r="A147" s="684"/>
      <c r="B147" s="685"/>
      <c r="C147" s="756"/>
      <c r="D147" s="685"/>
      <c r="E147" s="686"/>
      <c r="F147" s="684"/>
      <c r="G147" s="687"/>
      <c r="H147" s="687"/>
    </row>
    <row r="148" spans="1:8" x14ac:dyDescent="0.3">
      <c r="A148" s="684"/>
      <c r="B148" s="685"/>
      <c r="C148" s="756"/>
      <c r="D148" s="685"/>
      <c r="E148" s="686"/>
      <c r="F148" s="684"/>
      <c r="G148" s="687"/>
      <c r="H148" s="687"/>
    </row>
    <row r="149" spans="1:8" x14ac:dyDescent="0.3">
      <c r="A149" s="684"/>
      <c r="B149" s="685"/>
      <c r="C149" s="756"/>
      <c r="D149" s="685"/>
      <c r="E149" s="686"/>
      <c r="F149" s="684"/>
      <c r="G149" s="687"/>
      <c r="H149" s="687"/>
    </row>
    <row r="150" spans="1:8" x14ac:dyDescent="0.3">
      <c r="A150" s="684"/>
      <c r="B150" s="685"/>
      <c r="C150" s="756"/>
      <c r="D150" s="685"/>
      <c r="E150" s="686"/>
      <c r="F150" s="684"/>
      <c r="G150" s="687"/>
      <c r="H150" s="687"/>
    </row>
    <row r="151" spans="1:8" x14ac:dyDescent="0.3">
      <c r="A151" s="684"/>
      <c r="B151" s="685"/>
      <c r="C151" s="756"/>
      <c r="D151" s="685"/>
      <c r="E151" s="686"/>
      <c r="F151" s="684"/>
      <c r="G151" s="687"/>
      <c r="H151" s="687"/>
    </row>
    <row r="152" spans="1:8" x14ac:dyDescent="0.3">
      <c r="A152" s="684"/>
      <c r="B152" s="685"/>
      <c r="C152" s="756"/>
      <c r="D152" s="685"/>
      <c r="E152" s="686"/>
      <c r="F152" s="684"/>
      <c r="G152" s="687"/>
      <c r="H152" s="687"/>
    </row>
    <row r="153" spans="1:8" x14ac:dyDescent="0.3">
      <c r="A153" s="684"/>
      <c r="B153" s="685"/>
      <c r="C153" s="756"/>
      <c r="D153" s="685"/>
      <c r="E153" s="686"/>
      <c r="F153" s="684"/>
      <c r="G153" s="687"/>
      <c r="H153" s="687"/>
    </row>
    <row r="154" spans="1:8" x14ac:dyDescent="0.3">
      <c r="A154" s="684"/>
      <c r="B154" s="685"/>
      <c r="C154" s="756"/>
      <c r="D154" s="685"/>
      <c r="E154" s="686"/>
      <c r="F154" s="684"/>
      <c r="G154" s="687"/>
      <c r="H154" s="687"/>
    </row>
    <row r="155" spans="1:8" x14ac:dyDescent="0.3">
      <c r="A155" s="684"/>
      <c r="B155" s="685"/>
      <c r="C155" s="756"/>
      <c r="D155" s="685"/>
      <c r="E155" s="686"/>
      <c r="F155" s="684"/>
      <c r="G155" s="687"/>
      <c r="H155" s="687"/>
    </row>
    <row r="156" spans="1:8" x14ac:dyDescent="0.3">
      <c r="A156" s="684"/>
      <c r="B156" s="685"/>
      <c r="C156" s="756"/>
      <c r="D156" s="685"/>
      <c r="E156" s="686"/>
      <c r="F156" s="684"/>
      <c r="G156" s="687"/>
      <c r="H156" s="687"/>
    </row>
    <row r="157" spans="1:8" x14ac:dyDescent="0.3">
      <c r="A157" s="684"/>
      <c r="B157" s="685"/>
      <c r="C157" s="756"/>
      <c r="D157" s="685"/>
      <c r="E157" s="686"/>
      <c r="F157" s="684"/>
      <c r="G157" s="687"/>
      <c r="H157" s="687"/>
    </row>
    <row r="158" spans="1:8" x14ac:dyDescent="0.3">
      <c r="A158" s="684"/>
      <c r="B158" s="685"/>
      <c r="C158" s="756"/>
      <c r="D158" s="685"/>
      <c r="E158" s="686"/>
      <c r="F158" s="684"/>
      <c r="G158" s="687"/>
      <c r="H158" s="687"/>
    </row>
    <row r="159" spans="1:8" x14ac:dyDescent="0.3">
      <c r="A159" s="684"/>
      <c r="B159" s="685"/>
      <c r="C159" s="756"/>
      <c r="D159" s="685"/>
      <c r="E159" s="686"/>
      <c r="F159" s="684"/>
      <c r="G159" s="687"/>
      <c r="H159" s="687"/>
    </row>
    <row r="160" spans="1:8" x14ac:dyDescent="0.3">
      <c r="A160" s="684"/>
      <c r="B160" s="685"/>
      <c r="C160" s="756"/>
      <c r="D160" s="685"/>
      <c r="E160" s="686"/>
      <c r="F160" s="684"/>
      <c r="G160" s="687"/>
      <c r="H160" s="687"/>
    </row>
    <row r="161" spans="1:8" x14ac:dyDescent="0.3">
      <c r="A161" s="684"/>
      <c r="B161" s="685"/>
      <c r="C161" s="756"/>
      <c r="D161" s="685"/>
      <c r="E161" s="686"/>
      <c r="F161" s="684"/>
      <c r="G161" s="687"/>
      <c r="H161" s="687"/>
    </row>
    <row r="162" spans="1:8" x14ac:dyDescent="0.3">
      <c r="A162" s="684"/>
      <c r="B162" s="685"/>
      <c r="C162" s="756"/>
      <c r="D162" s="685"/>
      <c r="E162" s="686"/>
      <c r="F162" s="684"/>
      <c r="G162" s="687"/>
      <c r="H162" s="687"/>
    </row>
    <row r="163" spans="1:8" x14ac:dyDescent="0.3">
      <c r="A163" s="684"/>
      <c r="B163" s="685"/>
      <c r="C163" s="756"/>
      <c r="D163" s="685"/>
      <c r="E163" s="686"/>
      <c r="F163" s="684"/>
      <c r="G163" s="687"/>
      <c r="H163" s="687"/>
    </row>
    <row r="164" spans="1:8" x14ac:dyDescent="0.3">
      <c r="A164" s="684"/>
      <c r="B164" s="685"/>
      <c r="C164" s="756"/>
      <c r="D164" s="685"/>
      <c r="E164" s="686"/>
      <c r="F164" s="684"/>
      <c r="G164" s="687"/>
      <c r="H164" s="687"/>
    </row>
    <row r="165" spans="1:8" x14ac:dyDescent="0.3">
      <c r="A165" s="684"/>
      <c r="B165" s="685"/>
      <c r="C165" s="756"/>
      <c r="D165" s="685"/>
      <c r="E165" s="686"/>
      <c r="F165" s="684"/>
      <c r="G165" s="687"/>
      <c r="H165" s="687"/>
    </row>
    <row r="166" spans="1:8" x14ac:dyDescent="0.3">
      <c r="A166" s="684"/>
      <c r="B166" s="685"/>
      <c r="C166" s="756"/>
      <c r="D166" s="685"/>
      <c r="E166" s="686"/>
      <c r="F166" s="684"/>
      <c r="G166" s="687"/>
      <c r="H166" s="687"/>
    </row>
    <row r="167" spans="1:8" x14ac:dyDescent="0.3">
      <c r="A167" s="684"/>
      <c r="B167" s="685"/>
      <c r="C167" s="756"/>
      <c r="D167" s="685"/>
      <c r="E167" s="686"/>
      <c r="F167" s="684"/>
      <c r="G167" s="687"/>
      <c r="H167" s="687"/>
    </row>
    <row r="168" spans="1:8" x14ac:dyDescent="0.3">
      <c r="A168" s="684"/>
      <c r="B168" s="685"/>
      <c r="C168" s="756"/>
      <c r="D168" s="685"/>
      <c r="E168" s="686"/>
      <c r="F168" s="684"/>
      <c r="G168" s="687"/>
      <c r="H168" s="687"/>
    </row>
    <row r="169" spans="1:8" x14ac:dyDescent="0.3">
      <c r="A169" s="684"/>
      <c r="B169" s="685"/>
      <c r="C169" s="756"/>
      <c r="D169" s="685"/>
      <c r="E169" s="686"/>
      <c r="F169" s="684"/>
      <c r="G169" s="687"/>
      <c r="H169" s="687"/>
    </row>
    <row r="170" spans="1:8" x14ac:dyDescent="0.3">
      <c r="A170" s="684"/>
      <c r="B170" s="685"/>
      <c r="C170" s="756"/>
      <c r="D170" s="685"/>
      <c r="E170" s="686"/>
      <c r="F170" s="684"/>
      <c r="G170" s="687"/>
      <c r="H170" s="687"/>
    </row>
    <row r="171" spans="1:8" x14ac:dyDescent="0.3">
      <c r="A171" s="684"/>
      <c r="B171" s="685"/>
      <c r="C171" s="756"/>
      <c r="D171" s="685"/>
      <c r="E171" s="686"/>
      <c r="F171" s="684"/>
      <c r="G171" s="687"/>
      <c r="H171" s="687"/>
    </row>
    <row r="172" spans="1:8" x14ac:dyDescent="0.3">
      <c r="A172" s="684"/>
      <c r="B172" s="685"/>
      <c r="C172" s="756"/>
      <c r="D172" s="685"/>
      <c r="E172" s="686"/>
      <c r="F172" s="684"/>
      <c r="G172" s="687"/>
      <c r="H172" s="687"/>
    </row>
    <row r="173" spans="1:8" x14ac:dyDescent="0.3">
      <c r="A173" s="684"/>
      <c r="B173" s="685"/>
      <c r="C173" s="756"/>
      <c r="D173" s="685"/>
      <c r="E173" s="686"/>
      <c r="F173" s="684"/>
      <c r="G173" s="687"/>
      <c r="H173" s="687"/>
    </row>
    <row r="174" spans="1:8" x14ac:dyDescent="0.3">
      <c r="A174" s="684"/>
      <c r="B174" s="685"/>
      <c r="C174" s="756"/>
      <c r="D174" s="685"/>
      <c r="E174" s="686"/>
      <c r="F174" s="684"/>
      <c r="G174" s="687"/>
      <c r="H174" s="687"/>
    </row>
    <row r="175" spans="1:8" x14ac:dyDescent="0.3">
      <c r="A175" s="684"/>
      <c r="B175" s="685"/>
      <c r="C175" s="756"/>
      <c r="D175" s="685"/>
      <c r="E175" s="686"/>
      <c r="F175" s="684"/>
      <c r="G175" s="687"/>
      <c r="H175" s="687"/>
    </row>
    <row r="176" spans="1:8" x14ac:dyDescent="0.3">
      <c r="A176" s="684"/>
      <c r="B176" s="685"/>
      <c r="C176" s="756"/>
      <c r="D176" s="685"/>
      <c r="E176" s="686"/>
      <c r="F176" s="684"/>
      <c r="G176" s="687"/>
      <c r="H176" s="687"/>
    </row>
    <row r="177" spans="1:8" x14ac:dyDescent="0.3">
      <c r="A177" s="684"/>
      <c r="B177" s="685"/>
      <c r="C177" s="756"/>
      <c r="D177" s="685"/>
      <c r="E177" s="686"/>
      <c r="F177" s="684"/>
      <c r="G177" s="687"/>
      <c r="H177" s="687"/>
    </row>
    <row r="178" spans="1:8" x14ac:dyDescent="0.3">
      <c r="A178" s="684"/>
      <c r="B178" s="685"/>
      <c r="C178" s="756"/>
      <c r="D178" s="685"/>
      <c r="E178" s="686"/>
      <c r="F178" s="684"/>
      <c r="G178" s="687"/>
      <c r="H178" s="687"/>
    </row>
    <row r="179" spans="1:8" x14ac:dyDescent="0.3">
      <c r="A179" s="684"/>
      <c r="B179" s="685"/>
      <c r="C179" s="756"/>
      <c r="D179" s="685"/>
      <c r="E179" s="686"/>
      <c r="F179" s="684"/>
      <c r="G179" s="687"/>
      <c r="H179" s="687"/>
    </row>
    <row r="180" spans="1:8" x14ac:dyDescent="0.3">
      <c r="A180" s="684"/>
      <c r="B180" s="685"/>
      <c r="C180" s="756"/>
      <c r="D180" s="685"/>
      <c r="E180" s="686"/>
      <c r="F180" s="684"/>
      <c r="G180" s="687"/>
      <c r="H180" s="687"/>
    </row>
    <row r="181" spans="1:8" x14ac:dyDescent="0.3">
      <c r="A181" s="684"/>
      <c r="B181" s="685"/>
      <c r="C181" s="756"/>
      <c r="D181" s="685"/>
      <c r="E181" s="686"/>
      <c r="F181" s="684"/>
      <c r="G181" s="687"/>
      <c r="H181" s="687"/>
    </row>
    <row r="182" spans="1:8" x14ac:dyDescent="0.3">
      <c r="A182" s="684"/>
      <c r="B182" s="685"/>
      <c r="C182" s="756"/>
      <c r="D182" s="685"/>
      <c r="E182" s="686"/>
      <c r="F182" s="684"/>
      <c r="G182" s="687"/>
      <c r="H182" s="687"/>
    </row>
    <row r="183" spans="1:8" x14ac:dyDescent="0.3">
      <c r="A183" s="684"/>
      <c r="B183" s="685"/>
      <c r="C183" s="756"/>
      <c r="D183" s="685"/>
      <c r="E183" s="686"/>
      <c r="F183" s="684"/>
      <c r="G183" s="687"/>
      <c r="H183" s="687"/>
    </row>
    <row r="184" spans="1:8" x14ac:dyDescent="0.3">
      <c r="A184" s="684"/>
      <c r="B184" s="685"/>
      <c r="C184" s="756"/>
      <c r="D184" s="685"/>
      <c r="E184" s="686"/>
      <c r="F184" s="684"/>
      <c r="G184" s="687"/>
      <c r="H184" s="687"/>
    </row>
    <row r="185" spans="1:8" x14ac:dyDescent="0.3">
      <c r="A185" s="684"/>
      <c r="B185" s="685"/>
      <c r="C185" s="756"/>
      <c r="D185" s="685"/>
      <c r="E185" s="686"/>
      <c r="F185" s="684"/>
      <c r="G185" s="687"/>
      <c r="H185" s="687"/>
    </row>
    <row r="186" spans="1:8" x14ac:dyDescent="0.3">
      <c r="A186" s="684"/>
      <c r="B186" s="685"/>
      <c r="C186" s="684"/>
      <c r="D186" s="685"/>
      <c r="E186" s="686"/>
      <c r="F186" s="684"/>
      <c r="G186" s="687"/>
      <c r="H186" s="687"/>
    </row>
    <row r="187" spans="1:8" x14ac:dyDescent="0.3">
      <c r="A187" s="684"/>
      <c r="B187" s="685"/>
      <c r="C187" s="684"/>
      <c r="D187" s="685"/>
      <c r="E187" s="686"/>
      <c r="F187" s="684"/>
      <c r="G187" s="687"/>
      <c r="H187" s="687"/>
    </row>
    <row r="188" spans="1:8" x14ac:dyDescent="0.3">
      <c r="A188" s="684"/>
      <c r="B188" s="685"/>
      <c r="C188" s="684"/>
      <c r="D188" s="685"/>
      <c r="E188" s="686"/>
      <c r="F188" s="684"/>
      <c r="G188" s="687"/>
      <c r="H188" s="687"/>
    </row>
    <row r="189" spans="1:8" x14ac:dyDescent="0.3">
      <c r="A189" s="684"/>
      <c r="B189" s="685"/>
      <c r="C189" s="684"/>
      <c r="D189" s="685"/>
      <c r="E189" s="686"/>
      <c r="F189" s="684"/>
      <c r="G189" s="687"/>
      <c r="H189" s="687"/>
    </row>
    <row r="190" spans="1:8" x14ac:dyDescent="0.3">
      <c r="A190" s="684"/>
      <c r="B190" s="685"/>
      <c r="C190" s="684"/>
      <c r="D190" s="685"/>
      <c r="E190" s="686"/>
      <c r="F190" s="684"/>
      <c r="G190" s="687"/>
      <c r="H190" s="687"/>
    </row>
    <row r="191" spans="1:8" x14ac:dyDescent="0.3">
      <c r="A191" s="684"/>
      <c r="B191" s="685"/>
      <c r="C191" s="684"/>
      <c r="D191" s="685"/>
      <c r="E191" s="686"/>
      <c r="F191" s="684"/>
      <c r="G191" s="687"/>
      <c r="H191" s="687"/>
    </row>
    <row r="192" spans="1:8" x14ac:dyDescent="0.3">
      <c r="A192" s="684"/>
      <c r="B192" s="685"/>
      <c r="C192" s="684"/>
      <c r="D192" s="685"/>
      <c r="E192" s="686"/>
      <c r="F192" s="684"/>
      <c r="G192" s="687"/>
      <c r="H192" s="687"/>
    </row>
    <row r="193" spans="1:8" x14ac:dyDescent="0.3">
      <c r="A193" s="684"/>
      <c r="B193" s="685"/>
      <c r="C193" s="684"/>
      <c r="D193" s="685"/>
      <c r="E193" s="686"/>
      <c r="F193" s="684"/>
      <c r="G193" s="687"/>
      <c r="H193" s="687"/>
    </row>
  </sheetData>
  <mergeCells count="13">
    <mergeCell ref="A80:G80"/>
    <mergeCell ref="A1:H1"/>
    <mergeCell ref="A4:H4"/>
    <mergeCell ref="B7:C7"/>
    <mergeCell ref="A18:G18"/>
    <mergeCell ref="A5:H5"/>
    <mergeCell ref="A61:G61"/>
    <mergeCell ref="A69:G69"/>
    <mergeCell ref="A47:G47"/>
    <mergeCell ref="A74:G74"/>
    <mergeCell ref="A34:G34"/>
    <mergeCell ref="A2:H2"/>
    <mergeCell ref="A3:H3"/>
  </mergeCells>
  <pageMargins left="0.78740157480314965" right="0.70866141732283472" top="0.55118110236220474" bottom="0.15748031496062992" header="0.31496062992125984" footer="0.31496062992125984"/>
  <pageSetup paperSize="9" scale="77" orientation="portrait" horizontalDpi="4294967293" r:id="rId1"/>
  <rowBreaks count="1" manualBreakCount="1">
    <brk id="6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7"/>
  <sheetViews>
    <sheetView view="pageBreakPreview" topLeftCell="A100" zoomScaleNormal="100" zoomScaleSheetLayoutView="100" workbookViewId="0">
      <selection activeCell="A100" sqref="A1:XFD1048576"/>
    </sheetView>
  </sheetViews>
  <sheetFormatPr defaultRowHeight="14.4" x14ac:dyDescent="0.3"/>
  <cols>
    <col min="1" max="1" width="3.109375" style="683" customWidth="1"/>
    <col min="2" max="2" width="38.88671875" style="683" customWidth="1"/>
    <col min="3" max="3" width="7.6640625" style="841" customWidth="1"/>
    <col min="4" max="4" width="5.33203125" style="841" customWidth="1"/>
    <col min="5" max="5" width="6.33203125" style="683" customWidth="1"/>
    <col min="6" max="6" width="5.33203125" style="683" customWidth="1"/>
    <col min="7" max="7" width="5.44140625" style="683" customWidth="1"/>
    <col min="8" max="8" width="6.33203125" style="683" customWidth="1"/>
    <col min="9" max="9" width="8.109375" style="683" customWidth="1"/>
    <col min="10" max="10" width="4.88671875" style="683" customWidth="1"/>
    <col min="11" max="16384" width="8.88671875" style="683"/>
  </cols>
  <sheetData>
    <row r="1" spans="1:10" ht="20.399999999999999" x14ac:dyDescent="0.35">
      <c r="A1" s="870" t="s">
        <v>251</v>
      </c>
      <c r="B1" s="870"/>
      <c r="C1" s="870"/>
      <c r="D1" s="870"/>
      <c r="E1" s="870"/>
      <c r="F1" s="870"/>
      <c r="G1" s="870"/>
      <c r="H1" s="870"/>
      <c r="I1" s="870"/>
      <c r="J1" s="870"/>
    </row>
    <row r="2" spans="1:10" ht="15" thickBot="1" x14ac:dyDescent="0.35">
      <c r="A2" s="684"/>
      <c r="B2" s="684"/>
      <c r="C2" s="760"/>
      <c r="D2" s="760"/>
      <c r="E2" s="684"/>
      <c r="F2" s="684"/>
      <c r="G2" s="684"/>
      <c r="H2" s="684"/>
      <c r="I2" s="684"/>
      <c r="J2" s="684"/>
    </row>
    <row r="3" spans="1:10" ht="15" thickTop="1" x14ac:dyDescent="0.3">
      <c r="A3" s="871" t="s">
        <v>252</v>
      </c>
      <c r="B3" s="873" t="s">
        <v>253</v>
      </c>
      <c r="C3" s="873" t="s">
        <v>254</v>
      </c>
      <c r="D3" s="873"/>
      <c r="E3" s="873"/>
      <c r="F3" s="873"/>
      <c r="G3" s="873"/>
      <c r="H3" s="873"/>
      <c r="I3" s="873"/>
      <c r="J3" s="875"/>
    </row>
    <row r="4" spans="1:10" ht="15" thickBot="1" x14ac:dyDescent="0.35">
      <c r="A4" s="872"/>
      <c r="B4" s="874"/>
      <c r="C4" s="762" t="s">
        <v>255</v>
      </c>
      <c r="D4" s="762" t="s">
        <v>256</v>
      </c>
      <c r="E4" s="761" t="s">
        <v>257</v>
      </c>
      <c r="F4" s="761" t="s">
        <v>258</v>
      </c>
      <c r="G4" s="761" t="s">
        <v>236</v>
      </c>
      <c r="H4" s="761" t="s">
        <v>259</v>
      </c>
      <c r="I4" s="761" t="s">
        <v>231</v>
      </c>
      <c r="J4" s="763" t="s">
        <v>260</v>
      </c>
    </row>
    <row r="5" spans="1:10" x14ac:dyDescent="0.3">
      <c r="A5" s="764" t="s">
        <v>366</v>
      </c>
      <c r="B5" s="765" t="s">
        <v>57</v>
      </c>
      <c r="C5" s="766"/>
      <c r="D5" s="766"/>
      <c r="E5" s="767"/>
      <c r="F5" s="767"/>
      <c r="G5" s="767"/>
      <c r="H5" s="767"/>
      <c r="I5" s="767"/>
      <c r="J5" s="768"/>
    </row>
    <row r="6" spans="1:10" ht="15" thickBot="1" x14ac:dyDescent="0.35">
      <c r="A6" s="769"/>
      <c r="B6" s="770"/>
      <c r="C6" s="771"/>
      <c r="D6" s="771"/>
      <c r="E6" s="772"/>
      <c r="F6" s="772"/>
      <c r="G6" s="772"/>
      <c r="H6" s="772"/>
      <c r="I6" s="772"/>
      <c r="J6" s="773"/>
    </row>
    <row r="7" spans="1:10" x14ac:dyDescent="0.3">
      <c r="A7" s="764" t="s">
        <v>367</v>
      </c>
      <c r="B7" s="765" t="s">
        <v>575</v>
      </c>
      <c r="C7" s="766"/>
      <c r="D7" s="766"/>
      <c r="E7" s="767"/>
      <c r="F7" s="767"/>
      <c r="G7" s="767"/>
      <c r="H7" s="767"/>
      <c r="I7" s="767"/>
      <c r="J7" s="768"/>
    </row>
    <row r="8" spans="1:10" ht="16.8" x14ac:dyDescent="0.3">
      <c r="A8" s="774">
        <v>1</v>
      </c>
      <c r="B8" s="775" t="s">
        <v>578</v>
      </c>
      <c r="C8" s="776">
        <f>5.99</f>
        <v>5.99</v>
      </c>
      <c r="D8" s="771"/>
      <c r="E8" s="771">
        <v>2.87</v>
      </c>
      <c r="F8" s="772"/>
      <c r="G8" s="777"/>
      <c r="H8" s="778">
        <v>8</v>
      </c>
      <c r="I8" s="779">
        <f>C8*E8*H8</f>
        <v>137.53040000000001</v>
      </c>
      <c r="J8" s="780" t="s">
        <v>723</v>
      </c>
    </row>
    <row r="9" spans="1:10" ht="16.8" x14ac:dyDescent="0.3">
      <c r="A9" s="774"/>
      <c r="B9" s="781"/>
      <c r="C9" s="776">
        <f>5.85</f>
        <v>5.85</v>
      </c>
      <c r="D9" s="771"/>
      <c r="E9" s="771">
        <f>2.87+0.45</f>
        <v>3.3200000000000003</v>
      </c>
      <c r="F9" s="772"/>
      <c r="G9" s="777"/>
      <c r="H9" s="778">
        <v>4</v>
      </c>
      <c r="I9" s="779">
        <f t="shared" ref="I9" si="0">C9*E9*H9</f>
        <v>77.688000000000002</v>
      </c>
      <c r="J9" s="780" t="s">
        <v>723</v>
      </c>
    </row>
    <row r="10" spans="1:10" ht="16.8" x14ac:dyDescent="0.3">
      <c r="A10" s="774"/>
      <c r="B10" s="781"/>
      <c r="C10" s="776">
        <f>5.85</f>
        <v>5.85</v>
      </c>
      <c r="D10" s="771"/>
      <c r="E10" s="771">
        <v>3.24</v>
      </c>
      <c r="F10" s="772"/>
      <c r="G10" s="782">
        <v>0.5</v>
      </c>
      <c r="H10" s="778">
        <v>4</v>
      </c>
      <c r="I10" s="779">
        <f>C10*E10*G10*H10</f>
        <v>37.908000000000001</v>
      </c>
      <c r="J10" s="780" t="s">
        <v>723</v>
      </c>
    </row>
    <row r="11" spans="1:10" ht="16.8" x14ac:dyDescent="0.3">
      <c r="A11" s="774"/>
      <c r="B11" s="781"/>
      <c r="C11" s="776">
        <f>2.85</f>
        <v>2.85</v>
      </c>
      <c r="D11" s="771"/>
      <c r="E11" s="771">
        <v>6.5</v>
      </c>
      <c r="F11" s="772"/>
      <c r="G11" s="777"/>
      <c r="H11" s="778">
        <v>2</v>
      </c>
      <c r="I11" s="779">
        <f t="shared" ref="I11" si="1">C11*E11*H11</f>
        <v>37.050000000000004</v>
      </c>
      <c r="J11" s="780" t="s">
        <v>723</v>
      </c>
    </row>
    <row r="12" spans="1:10" ht="16.8" x14ac:dyDescent="0.3">
      <c r="A12" s="774"/>
      <c r="B12" s="781"/>
      <c r="C12" s="776">
        <v>1.46</v>
      </c>
      <c r="D12" s="771"/>
      <c r="E12" s="771">
        <v>0.78</v>
      </c>
      <c r="F12" s="772"/>
      <c r="G12" s="782">
        <v>0.5</v>
      </c>
      <c r="H12" s="778">
        <v>4</v>
      </c>
      <c r="I12" s="779">
        <f>C12*E12*G12*H12</f>
        <v>2.2776000000000001</v>
      </c>
      <c r="J12" s="780" t="s">
        <v>723</v>
      </c>
    </row>
    <row r="13" spans="1:10" ht="16.8" x14ac:dyDescent="0.3">
      <c r="A13" s="774"/>
      <c r="B13" s="781"/>
      <c r="C13" s="776">
        <v>24</v>
      </c>
      <c r="D13" s="771"/>
      <c r="E13" s="771">
        <v>1.81</v>
      </c>
      <c r="F13" s="772"/>
      <c r="G13" s="777"/>
      <c r="H13" s="778">
        <v>2</v>
      </c>
      <c r="I13" s="779">
        <f t="shared" ref="I13" si="2">C13*E13*H13</f>
        <v>86.88</v>
      </c>
      <c r="J13" s="780" t="s">
        <v>723</v>
      </c>
    </row>
    <row r="14" spans="1:10" ht="16.8" x14ac:dyDescent="0.3">
      <c r="A14" s="774"/>
      <c r="B14" s="781"/>
      <c r="C14" s="776">
        <f>2.07+2.07+3.14</f>
        <v>7.2799999999999994</v>
      </c>
      <c r="D14" s="771"/>
      <c r="E14" s="771">
        <v>2.0299999999999998</v>
      </c>
      <c r="F14" s="772"/>
      <c r="G14" s="777"/>
      <c r="H14" s="778">
        <v>2</v>
      </c>
      <c r="I14" s="779">
        <f t="shared" ref="I14" si="3">C14*E14*H14</f>
        <v>29.556799999999996</v>
      </c>
      <c r="J14" s="780" t="s">
        <v>723</v>
      </c>
    </row>
    <row r="15" spans="1:10" ht="17.399999999999999" thickBot="1" x14ac:dyDescent="0.35">
      <c r="A15" s="774"/>
      <c r="B15" s="781"/>
      <c r="C15" s="776">
        <f>3.14</f>
        <v>3.14</v>
      </c>
      <c r="D15" s="771"/>
      <c r="E15" s="771">
        <v>2.0699999999999998</v>
      </c>
      <c r="F15" s="772"/>
      <c r="G15" s="777"/>
      <c r="H15" s="778">
        <v>2</v>
      </c>
      <c r="I15" s="779">
        <f t="shared" ref="I15" si="4">C15*E15*H15</f>
        <v>12.999599999999999</v>
      </c>
      <c r="J15" s="780" t="s">
        <v>723</v>
      </c>
    </row>
    <row r="16" spans="1:10" ht="18" thickTop="1" thickBot="1" x14ac:dyDescent="0.35">
      <c r="A16" s="774"/>
      <c r="B16" s="781"/>
      <c r="C16" s="783"/>
      <c r="D16" s="784"/>
      <c r="E16" s="785"/>
      <c r="F16" s="781"/>
      <c r="G16" s="860" t="s">
        <v>365</v>
      </c>
      <c r="H16" s="861"/>
      <c r="I16" s="786">
        <f>SUM(I8:I15)</f>
        <v>421.89040000000006</v>
      </c>
      <c r="J16" s="787" t="s">
        <v>734</v>
      </c>
    </row>
    <row r="17" spans="1:10" x14ac:dyDescent="0.3">
      <c r="A17" s="774"/>
      <c r="B17" s="788"/>
      <c r="C17" s="789"/>
      <c r="D17" s="790"/>
      <c r="E17" s="791"/>
      <c r="F17" s="788"/>
      <c r="G17" s="791"/>
      <c r="H17" s="791"/>
      <c r="I17" s="792"/>
      <c r="J17" s="793"/>
    </row>
    <row r="18" spans="1:10" ht="16.8" x14ac:dyDescent="0.3">
      <c r="A18" s="774">
        <f>A8+1</f>
        <v>2</v>
      </c>
      <c r="B18" s="775" t="s">
        <v>581</v>
      </c>
      <c r="C18" s="776"/>
      <c r="D18" s="771"/>
      <c r="E18" s="771">
        <f>E8</f>
        <v>2.87</v>
      </c>
      <c r="F18" s="772"/>
      <c r="G18" s="772"/>
      <c r="H18" s="778">
        <f>25*2</f>
        <v>50</v>
      </c>
      <c r="I18" s="779">
        <f>E18*H18</f>
        <v>143.5</v>
      </c>
      <c r="J18" s="780" t="s">
        <v>726</v>
      </c>
    </row>
    <row r="19" spans="1:10" ht="16.8" x14ac:dyDescent="0.3">
      <c r="A19" s="774"/>
      <c r="B19" s="781"/>
      <c r="C19" s="776">
        <v>24</v>
      </c>
      <c r="D19" s="771"/>
      <c r="E19" s="771"/>
      <c r="F19" s="772"/>
      <c r="G19" s="772"/>
      <c r="H19" s="778">
        <v>8</v>
      </c>
      <c r="I19" s="779">
        <f t="shared" ref="I19" si="5">C19*H19</f>
        <v>192</v>
      </c>
      <c r="J19" s="780" t="s">
        <v>726</v>
      </c>
    </row>
    <row r="20" spans="1:10" ht="16.8" x14ac:dyDescent="0.3">
      <c r="A20" s="774"/>
      <c r="B20" s="781"/>
      <c r="C20" s="776"/>
      <c r="D20" s="771"/>
      <c r="E20" s="771">
        <f>(6.54+E9)/2</f>
        <v>4.93</v>
      </c>
      <c r="F20" s="772"/>
      <c r="G20" s="772"/>
      <c r="H20" s="778">
        <f>7*4</f>
        <v>28</v>
      </c>
      <c r="I20" s="779">
        <f t="shared" ref="I20:I26" si="6">E20*H20</f>
        <v>138.04</v>
      </c>
      <c r="J20" s="780" t="s">
        <v>726</v>
      </c>
    </row>
    <row r="21" spans="1:10" ht="16.8" x14ac:dyDescent="0.3">
      <c r="A21" s="774"/>
      <c r="B21" s="781"/>
      <c r="C21" s="776"/>
      <c r="D21" s="771"/>
      <c r="E21" s="771">
        <f>E11</f>
        <v>6.5</v>
      </c>
      <c r="F21" s="772"/>
      <c r="G21" s="772"/>
      <c r="H21" s="778">
        <v>4</v>
      </c>
      <c r="I21" s="779">
        <f t="shared" si="6"/>
        <v>26</v>
      </c>
      <c r="J21" s="780" t="s">
        <v>726</v>
      </c>
    </row>
    <row r="22" spans="1:10" ht="16.8" x14ac:dyDescent="0.3">
      <c r="A22" s="774"/>
      <c r="B22" s="781"/>
      <c r="C22" s="776"/>
      <c r="D22" s="771"/>
      <c r="E22" s="771">
        <f>(1.66+1.66+1.46+1.46+0.78)</f>
        <v>7.02</v>
      </c>
      <c r="F22" s="772"/>
      <c r="G22" s="772"/>
      <c r="H22" s="778">
        <v>2</v>
      </c>
      <c r="I22" s="779">
        <f t="shared" si="6"/>
        <v>14.04</v>
      </c>
      <c r="J22" s="780" t="s">
        <v>726</v>
      </c>
    </row>
    <row r="23" spans="1:10" ht="16.8" x14ac:dyDescent="0.3">
      <c r="A23" s="774"/>
      <c r="B23" s="781"/>
      <c r="C23" s="776"/>
      <c r="D23" s="771"/>
      <c r="E23" s="771">
        <f>E13</f>
        <v>1.81</v>
      </c>
      <c r="F23" s="772"/>
      <c r="G23" s="772"/>
      <c r="H23" s="778">
        <f>25*2</f>
        <v>50</v>
      </c>
      <c r="I23" s="779">
        <f t="shared" si="6"/>
        <v>90.5</v>
      </c>
      <c r="J23" s="780" t="s">
        <v>726</v>
      </c>
    </row>
    <row r="24" spans="1:10" ht="16.8" x14ac:dyDescent="0.3">
      <c r="A24" s="774"/>
      <c r="B24" s="781"/>
      <c r="C24" s="760"/>
      <c r="D24" s="794"/>
      <c r="E24" s="771">
        <f>E14</f>
        <v>2.0299999999999998</v>
      </c>
      <c r="F24" s="772"/>
      <c r="G24" s="772"/>
      <c r="H24" s="778">
        <f>(3+3+4)*2</f>
        <v>20</v>
      </c>
      <c r="I24" s="779">
        <f t="shared" si="6"/>
        <v>40.599999999999994</v>
      </c>
      <c r="J24" s="780" t="s">
        <v>726</v>
      </c>
    </row>
    <row r="25" spans="1:10" ht="16.8" x14ac:dyDescent="0.3">
      <c r="A25" s="774"/>
      <c r="B25" s="781"/>
      <c r="C25" s="776" t="s">
        <v>582</v>
      </c>
      <c r="D25" s="771"/>
      <c r="E25" s="771">
        <f>E15</f>
        <v>2.0699999999999998</v>
      </c>
      <c r="F25" s="772"/>
      <c r="G25" s="772"/>
      <c r="H25" s="778">
        <f>2*2</f>
        <v>4</v>
      </c>
      <c r="I25" s="779">
        <f t="shared" si="6"/>
        <v>8.2799999999999994</v>
      </c>
      <c r="J25" s="780" t="s">
        <v>726</v>
      </c>
    </row>
    <row r="26" spans="1:10" ht="16.8" x14ac:dyDescent="0.3">
      <c r="A26" s="774"/>
      <c r="B26" s="781"/>
      <c r="C26" s="760"/>
      <c r="D26" s="794"/>
      <c r="E26" s="771">
        <f>C15</f>
        <v>3.14</v>
      </c>
      <c r="F26" s="772"/>
      <c r="G26" s="772"/>
      <c r="H26" s="778">
        <f>2*2</f>
        <v>4</v>
      </c>
      <c r="I26" s="779">
        <f t="shared" si="6"/>
        <v>12.56</v>
      </c>
      <c r="J26" s="780" t="s">
        <v>726</v>
      </c>
    </row>
    <row r="27" spans="1:10" ht="18" thickTop="1" thickBot="1" x14ac:dyDescent="0.35">
      <c r="A27" s="774"/>
      <c r="B27" s="781"/>
      <c r="C27" s="783"/>
      <c r="D27" s="784"/>
      <c r="E27" s="785"/>
      <c r="F27" s="781"/>
      <c r="G27" s="860" t="s">
        <v>365</v>
      </c>
      <c r="H27" s="861"/>
      <c r="I27" s="786">
        <f>SUM(I18:I26)</f>
        <v>665.51999999999987</v>
      </c>
      <c r="J27" s="787" t="s">
        <v>734</v>
      </c>
    </row>
    <row r="28" spans="1:10" x14ac:dyDescent="0.3">
      <c r="A28" s="774"/>
      <c r="B28" s="788"/>
      <c r="C28" s="789"/>
      <c r="D28" s="790"/>
      <c r="E28" s="791"/>
      <c r="F28" s="788"/>
      <c r="G28" s="791"/>
      <c r="H28" s="791"/>
      <c r="I28" s="792"/>
      <c r="J28" s="793"/>
    </row>
    <row r="29" spans="1:10" ht="16.8" x14ac:dyDescent="0.3">
      <c r="A29" s="774">
        <f>A18+1</f>
        <v>3</v>
      </c>
      <c r="B29" s="775" t="s">
        <v>630</v>
      </c>
      <c r="C29" s="776">
        <f>24+6+6+2.05+2.05+0.62+0.62</f>
        <v>41.339999999999989</v>
      </c>
      <c r="D29" s="771"/>
      <c r="E29" s="779">
        <v>0.5</v>
      </c>
      <c r="F29" s="772"/>
      <c r="G29" s="772"/>
      <c r="H29" s="778">
        <v>2</v>
      </c>
      <c r="I29" s="779">
        <f>C29*E29*H29</f>
        <v>41.339999999999989</v>
      </c>
      <c r="J29" s="780" t="s">
        <v>728</v>
      </c>
    </row>
    <row r="30" spans="1:10" ht="17.399999999999999" thickBot="1" x14ac:dyDescent="0.35">
      <c r="A30" s="774"/>
      <c r="B30" s="781"/>
      <c r="C30" s="776">
        <f>24+6+6+2.05+2.05+0.62+0.62</f>
        <v>41.339999999999989</v>
      </c>
      <c r="D30" s="771"/>
      <c r="E30" s="779">
        <v>0.5</v>
      </c>
      <c r="F30" s="772"/>
      <c r="G30" s="772"/>
      <c r="H30" s="778">
        <v>2</v>
      </c>
      <c r="I30" s="779">
        <f>C30*E30*H30</f>
        <v>41.339999999999989</v>
      </c>
      <c r="J30" s="780" t="s">
        <v>728</v>
      </c>
    </row>
    <row r="31" spans="1:10" ht="18" thickTop="1" thickBot="1" x14ac:dyDescent="0.35">
      <c r="A31" s="774"/>
      <c r="B31" s="795"/>
      <c r="C31" s="783"/>
      <c r="D31" s="784"/>
      <c r="E31" s="785"/>
      <c r="F31" s="781"/>
      <c r="G31" s="860" t="s">
        <v>365</v>
      </c>
      <c r="H31" s="861"/>
      <c r="I31" s="786">
        <f>SUM(I29:I30)</f>
        <v>82.679999999999978</v>
      </c>
      <c r="J31" s="787" t="s">
        <v>734</v>
      </c>
    </row>
    <row r="32" spans="1:10" x14ac:dyDescent="0.3">
      <c r="A32" s="774">
        <f>A29+1</f>
        <v>4</v>
      </c>
      <c r="B32" s="772" t="s">
        <v>631</v>
      </c>
      <c r="C32" s="789"/>
      <c r="D32" s="790"/>
      <c r="E32" s="791"/>
      <c r="F32" s="788"/>
      <c r="G32" s="791"/>
      <c r="H32" s="791"/>
      <c r="I32" s="792"/>
      <c r="J32" s="793"/>
    </row>
    <row r="33" spans="1:10" ht="16.8" x14ac:dyDescent="0.3">
      <c r="A33" s="774"/>
      <c r="B33" s="796" t="s">
        <v>632</v>
      </c>
      <c r="C33" s="776"/>
      <c r="D33" s="771">
        <f>(0.15*2)+(0.073*4)</f>
        <v>0.59199999999999997</v>
      </c>
      <c r="E33" s="779">
        <f>(3.26)</f>
        <v>3.26</v>
      </c>
      <c r="F33" s="772"/>
      <c r="G33" s="772"/>
      <c r="H33" s="778">
        <v>10</v>
      </c>
      <c r="I33" s="779">
        <f>D33*E33*H33</f>
        <v>19.299199999999999</v>
      </c>
      <c r="J33" s="780" t="s">
        <v>723</v>
      </c>
    </row>
    <row r="34" spans="1:10" ht="16.8" x14ac:dyDescent="0.3">
      <c r="A34" s="774"/>
      <c r="B34" s="781"/>
      <c r="C34" s="776"/>
      <c r="D34" s="771">
        <f>(0.15*2)+(0.073*4)</f>
        <v>0.59199999999999997</v>
      </c>
      <c r="E34" s="779">
        <f>(6.48)</f>
        <v>6.48</v>
      </c>
      <c r="F34" s="772"/>
      <c r="G34" s="772"/>
      <c r="H34" s="778">
        <v>10</v>
      </c>
      <c r="I34" s="779">
        <f>D34*E34*H34</f>
        <v>38.361600000000003</v>
      </c>
      <c r="J34" s="780" t="s">
        <v>723</v>
      </c>
    </row>
    <row r="35" spans="1:10" x14ac:dyDescent="0.3">
      <c r="A35" s="774"/>
      <c r="B35" s="781"/>
      <c r="C35" s="797"/>
      <c r="D35" s="797"/>
      <c r="E35" s="778"/>
      <c r="F35" s="775"/>
      <c r="G35" s="775"/>
      <c r="H35" s="778"/>
      <c r="I35" s="778"/>
      <c r="J35" s="780"/>
    </row>
    <row r="36" spans="1:10" ht="16.8" x14ac:dyDescent="0.3">
      <c r="A36" s="774"/>
      <c r="B36" s="798" t="s">
        <v>633</v>
      </c>
      <c r="C36" s="776"/>
      <c r="D36" s="771">
        <f>(0.05*4)</f>
        <v>0.2</v>
      </c>
      <c r="E36" s="779">
        <f>(3.3)</f>
        <v>3.3</v>
      </c>
      <c r="F36" s="772"/>
      <c r="G36" s="772"/>
      <c r="H36" s="778">
        <v>26</v>
      </c>
      <c r="I36" s="779">
        <f>D36*E36*H36</f>
        <v>17.16</v>
      </c>
      <c r="J36" s="780" t="s">
        <v>723</v>
      </c>
    </row>
    <row r="37" spans="1:10" ht="16.8" x14ac:dyDescent="0.3">
      <c r="A37" s="774"/>
      <c r="B37" s="781"/>
      <c r="C37" s="776"/>
      <c r="D37" s="771">
        <f>(0.05*4)</f>
        <v>0.2</v>
      </c>
      <c r="E37" s="779">
        <v>2.82</v>
      </c>
      <c r="F37" s="772"/>
      <c r="G37" s="772"/>
      <c r="H37" s="778">
        <v>24</v>
      </c>
      <c r="I37" s="779">
        <f>D37*E37*H37</f>
        <v>13.535999999999998</v>
      </c>
      <c r="J37" s="780" t="s">
        <v>723</v>
      </c>
    </row>
    <row r="38" spans="1:10" ht="16.8" x14ac:dyDescent="0.3">
      <c r="A38" s="774"/>
      <c r="B38" s="781"/>
      <c r="C38" s="797"/>
      <c r="D38" s="771">
        <f>(0.05*4)</f>
        <v>0.2</v>
      </c>
      <c r="E38" s="779">
        <f>(3.3+3.84+4.36+4.87+5.4+5.92+6.54+5.02)*2</f>
        <v>78.5</v>
      </c>
      <c r="F38" s="772"/>
      <c r="G38" s="772"/>
      <c r="H38" s="778">
        <v>2</v>
      </c>
      <c r="I38" s="779">
        <f>D38*E38*H38</f>
        <v>31.400000000000002</v>
      </c>
      <c r="J38" s="780" t="s">
        <v>723</v>
      </c>
    </row>
    <row r="39" spans="1:10" ht="16.8" x14ac:dyDescent="0.3">
      <c r="A39" s="774"/>
      <c r="B39" s="781"/>
      <c r="C39" s="797"/>
      <c r="D39" s="771">
        <f>(0.05*4)</f>
        <v>0.2</v>
      </c>
      <c r="E39" s="779">
        <v>2.0299999999999998</v>
      </c>
      <c r="F39" s="772"/>
      <c r="G39" s="772"/>
      <c r="H39" s="778">
        <v>6</v>
      </c>
      <c r="I39" s="779">
        <f>D39*E39*H39</f>
        <v>2.4359999999999999</v>
      </c>
      <c r="J39" s="780" t="s">
        <v>723</v>
      </c>
    </row>
    <row r="40" spans="1:10" x14ac:dyDescent="0.3">
      <c r="A40" s="774"/>
      <c r="B40" s="781"/>
      <c r="C40" s="797"/>
      <c r="D40" s="797"/>
      <c r="E40" s="778"/>
      <c r="F40" s="775"/>
      <c r="G40" s="775"/>
      <c r="H40" s="778"/>
      <c r="I40" s="779"/>
      <c r="J40" s="780"/>
    </row>
    <row r="41" spans="1:10" ht="16.8" x14ac:dyDescent="0.3">
      <c r="A41" s="774"/>
      <c r="B41" s="799" t="s">
        <v>634</v>
      </c>
      <c r="C41" s="797"/>
      <c r="D41" s="797">
        <f t="shared" ref="D41:D52" si="7">0.03+0.03</f>
        <v>0.06</v>
      </c>
      <c r="E41" s="778">
        <f>E36</f>
        <v>3.3</v>
      </c>
      <c r="F41" s="775"/>
      <c r="G41" s="775"/>
      <c r="H41" s="778">
        <v>26</v>
      </c>
      <c r="I41" s="779">
        <f>D41*E41*H41</f>
        <v>5.1479999999999997</v>
      </c>
      <c r="J41" s="780" t="s">
        <v>723</v>
      </c>
    </row>
    <row r="42" spans="1:10" ht="16.8" x14ac:dyDescent="0.3">
      <c r="A42" s="774"/>
      <c r="B42" s="781"/>
      <c r="C42" s="797"/>
      <c r="D42" s="797">
        <f t="shared" si="7"/>
        <v>0.06</v>
      </c>
      <c r="E42" s="778">
        <f>E37</f>
        <v>2.82</v>
      </c>
      <c r="F42" s="775"/>
      <c r="G42" s="775"/>
      <c r="H42" s="778">
        <v>24</v>
      </c>
      <c r="I42" s="779">
        <f>D42*E42*H42</f>
        <v>4.0607999999999995</v>
      </c>
      <c r="J42" s="780" t="s">
        <v>723</v>
      </c>
    </row>
    <row r="43" spans="1:10" ht="16.8" x14ac:dyDescent="0.3">
      <c r="A43" s="774"/>
      <c r="B43" s="781"/>
      <c r="C43" s="797"/>
      <c r="D43" s="797">
        <f t="shared" si="7"/>
        <v>0.06</v>
      </c>
      <c r="E43" s="778">
        <f>E38</f>
        <v>78.5</v>
      </c>
      <c r="F43" s="775"/>
      <c r="G43" s="775"/>
      <c r="H43" s="778">
        <v>2</v>
      </c>
      <c r="I43" s="779">
        <f>D43*E43*H43</f>
        <v>9.42</v>
      </c>
      <c r="J43" s="780" t="s">
        <v>723</v>
      </c>
    </row>
    <row r="44" spans="1:10" ht="16.8" x14ac:dyDescent="0.3">
      <c r="A44" s="774"/>
      <c r="B44" s="781"/>
      <c r="C44" s="797"/>
      <c r="D44" s="797">
        <f t="shared" si="7"/>
        <v>0.06</v>
      </c>
      <c r="E44" s="779">
        <v>2.0299999999999998</v>
      </c>
      <c r="F44" s="772"/>
      <c r="G44" s="772"/>
      <c r="H44" s="778">
        <v>6</v>
      </c>
      <c r="I44" s="779">
        <f>D44*E44*H44</f>
        <v>0.73079999999999989</v>
      </c>
      <c r="J44" s="780" t="s">
        <v>723</v>
      </c>
    </row>
    <row r="45" spans="1:10" ht="16.8" x14ac:dyDescent="0.3">
      <c r="A45" s="774"/>
      <c r="B45" s="799" t="s">
        <v>644</v>
      </c>
      <c r="C45" s="797">
        <f>C56</f>
        <v>15</v>
      </c>
      <c r="D45" s="797">
        <f t="shared" si="7"/>
        <v>0.06</v>
      </c>
      <c r="E45" s="778"/>
      <c r="F45" s="775"/>
      <c r="G45" s="775"/>
      <c r="H45" s="778">
        <v>2</v>
      </c>
      <c r="I45" s="779">
        <f t="shared" ref="I45:I50" si="8">C45*D45*H45</f>
        <v>1.7999999999999998</v>
      </c>
      <c r="J45" s="780" t="s">
        <v>723</v>
      </c>
    </row>
    <row r="46" spans="1:10" ht="16.8" x14ac:dyDescent="0.3">
      <c r="A46" s="774"/>
      <c r="B46" s="799"/>
      <c r="C46" s="797">
        <f>C57</f>
        <v>6</v>
      </c>
      <c r="D46" s="797">
        <f t="shared" si="7"/>
        <v>0.06</v>
      </c>
      <c r="E46" s="778"/>
      <c r="F46" s="775"/>
      <c r="G46" s="775"/>
      <c r="H46" s="778">
        <v>4</v>
      </c>
      <c r="I46" s="779">
        <f t="shared" si="8"/>
        <v>1.44</v>
      </c>
      <c r="J46" s="780" t="s">
        <v>723</v>
      </c>
    </row>
    <row r="47" spans="1:10" ht="16.8" x14ac:dyDescent="0.3">
      <c r="A47" s="774"/>
      <c r="B47" s="799"/>
      <c r="C47" s="797">
        <f>C58</f>
        <v>2.0499999999999998</v>
      </c>
      <c r="D47" s="797">
        <f t="shared" si="7"/>
        <v>0.06</v>
      </c>
      <c r="E47" s="778"/>
      <c r="F47" s="775"/>
      <c r="G47" s="775"/>
      <c r="H47" s="778">
        <v>4</v>
      </c>
      <c r="I47" s="779">
        <f t="shared" si="8"/>
        <v>0.49199999999999994</v>
      </c>
      <c r="J47" s="780" t="s">
        <v>723</v>
      </c>
    </row>
    <row r="48" spans="1:10" ht="16.8" x14ac:dyDescent="0.3">
      <c r="A48" s="774"/>
      <c r="B48" s="799"/>
      <c r="C48" s="797">
        <f>C59</f>
        <v>0.62</v>
      </c>
      <c r="D48" s="797">
        <f t="shared" si="7"/>
        <v>0.06</v>
      </c>
      <c r="E48" s="778"/>
      <c r="F48" s="775"/>
      <c r="G48" s="775"/>
      <c r="H48" s="778">
        <v>4</v>
      </c>
      <c r="I48" s="779">
        <f t="shared" si="8"/>
        <v>0.14879999999999999</v>
      </c>
      <c r="J48" s="780" t="s">
        <v>723</v>
      </c>
    </row>
    <row r="49" spans="1:10" ht="16.8" x14ac:dyDescent="0.3">
      <c r="A49" s="774"/>
      <c r="B49" s="799"/>
      <c r="C49" s="797">
        <f>C60</f>
        <v>24</v>
      </c>
      <c r="D49" s="797">
        <f t="shared" si="7"/>
        <v>0.06</v>
      </c>
      <c r="E49" s="778"/>
      <c r="F49" s="775"/>
      <c r="G49" s="775"/>
      <c r="H49" s="778">
        <v>4</v>
      </c>
      <c r="I49" s="779">
        <f t="shared" si="8"/>
        <v>5.76</v>
      </c>
      <c r="J49" s="780" t="s">
        <v>723</v>
      </c>
    </row>
    <row r="50" spans="1:10" ht="16.8" x14ac:dyDescent="0.3">
      <c r="A50" s="774"/>
      <c r="B50" s="799" t="s">
        <v>645</v>
      </c>
      <c r="C50" s="797">
        <f>C60</f>
        <v>24</v>
      </c>
      <c r="D50" s="797">
        <f t="shared" si="7"/>
        <v>0.06</v>
      </c>
      <c r="E50" s="778"/>
      <c r="F50" s="775"/>
      <c r="G50" s="775"/>
      <c r="H50" s="778">
        <v>4</v>
      </c>
      <c r="I50" s="779">
        <f t="shared" si="8"/>
        <v>5.76</v>
      </c>
      <c r="J50" s="780" t="s">
        <v>723</v>
      </c>
    </row>
    <row r="51" spans="1:10" ht="16.8" x14ac:dyDescent="0.3">
      <c r="A51" s="774"/>
      <c r="B51" s="799"/>
      <c r="C51" s="797">
        <v>1.66</v>
      </c>
      <c r="D51" s="797">
        <f t="shared" si="7"/>
        <v>0.06</v>
      </c>
      <c r="E51" s="778"/>
      <c r="F51" s="775"/>
      <c r="G51" s="778">
        <v>2</v>
      </c>
      <c r="H51" s="778">
        <v>4</v>
      </c>
      <c r="I51" s="779">
        <f>C51*D51*G51*H51</f>
        <v>0.79679999999999995</v>
      </c>
      <c r="J51" s="780" t="s">
        <v>723</v>
      </c>
    </row>
    <row r="52" spans="1:10" ht="16.8" x14ac:dyDescent="0.3">
      <c r="A52" s="774"/>
      <c r="B52" s="799"/>
      <c r="C52" s="797">
        <v>1.81</v>
      </c>
      <c r="D52" s="797">
        <f t="shared" si="7"/>
        <v>0.06</v>
      </c>
      <c r="E52" s="778"/>
      <c r="F52" s="775"/>
      <c r="G52" s="778">
        <v>2</v>
      </c>
      <c r="H52" s="778">
        <v>2</v>
      </c>
      <c r="I52" s="779">
        <f>C52*D52*G52*H52</f>
        <v>0.43440000000000001</v>
      </c>
      <c r="J52" s="780" t="s">
        <v>723</v>
      </c>
    </row>
    <row r="53" spans="1:10" x14ac:dyDescent="0.3">
      <c r="A53" s="774"/>
      <c r="B53" s="799"/>
      <c r="C53" s="797"/>
      <c r="D53" s="797"/>
      <c r="E53" s="778"/>
      <c r="F53" s="775"/>
      <c r="G53" s="775"/>
      <c r="H53" s="778"/>
      <c r="I53" s="779"/>
      <c r="J53" s="780"/>
    </row>
    <row r="54" spans="1:10" x14ac:dyDescent="0.3">
      <c r="A54" s="774"/>
      <c r="B54" s="799"/>
      <c r="C54" s="797"/>
      <c r="D54" s="797"/>
      <c r="E54" s="778"/>
      <c r="F54" s="775"/>
      <c r="G54" s="775"/>
      <c r="H54" s="778"/>
      <c r="I54" s="779"/>
      <c r="J54" s="780"/>
    </row>
    <row r="55" spans="1:10" x14ac:dyDescent="0.3">
      <c r="A55" s="774"/>
      <c r="B55" s="781"/>
      <c r="C55" s="797"/>
      <c r="D55" s="797"/>
      <c r="E55" s="778"/>
      <c r="F55" s="775"/>
      <c r="G55" s="775"/>
      <c r="H55" s="778"/>
      <c r="I55" s="778"/>
      <c r="J55" s="780"/>
    </row>
    <row r="56" spans="1:10" ht="16.8" x14ac:dyDescent="0.3">
      <c r="A56" s="774"/>
      <c r="B56" s="798" t="s">
        <v>635</v>
      </c>
      <c r="C56" s="776">
        <v>15</v>
      </c>
      <c r="D56" s="771">
        <f>(0.05*4)</f>
        <v>0.2</v>
      </c>
      <c r="E56" s="779"/>
      <c r="F56" s="772"/>
      <c r="G56" s="772"/>
      <c r="H56" s="778">
        <v>2</v>
      </c>
      <c r="I56" s="779">
        <f>C56*D56*H56</f>
        <v>6</v>
      </c>
      <c r="J56" s="780" t="s">
        <v>723</v>
      </c>
    </row>
    <row r="57" spans="1:10" ht="16.8" x14ac:dyDescent="0.3">
      <c r="A57" s="774"/>
      <c r="B57" s="781"/>
      <c r="C57" s="776">
        <v>6</v>
      </c>
      <c r="D57" s="771">
        <f>(0.05*4)</f>
        <v>0.2</v>
      </c>
      <c r="E57" s="779"/>
      <c r="F57" s="772"/>
      <c r="G57" s="772"/>
      <c r="H57" s="778">
        <v>4</v>
      </c>
      <c r="I57" s="779">
        <f>C57*D57*H57</f>
        <v>4.8000000000000007</v>
      </c>
      <c r="J57" s="780" t="s">
        <v>723</v>
      </c>
    </row>
    <row r="58" spans="1:10" ht="16.8" x14ac:dyDescent="0.3">
      <c r="A58" s="774"/>
      <c r="B58" s="781"/>
      <c r="C58" s="776">
        <v>2.0499999999999998</v>
      </c>
      <c r="D58" s="771">
        <f>(0.05*4)</f>
        <v>0.2</v>
      </c>
      <c r="E58" s="779"/>
      <c r="F58" s="772"/>
      <c r="G58" s="772"/>
      <c r="H58" s="778">
        <f>2+2</f>
        <v>4</v>
      </c>
      <c r="I58" s="779">
        <f>C58*D58*H58</f>
        <v>1.64</v>
      </c>
      <c r="J58" s="780" t="s">
        <v>723</v>
      </c>
    </row>
    <row r="59" spans="1:10" ht="16.8" x14ac:dyDescent="0.3">
      <c r="A59" s="774"/>
      <c r="B59" s="781"/>
      <c r="C59" s="776">
        <v>0.62</v>
      </c>
      <c r="D59" s="771">
        <f>(0.05*4)</f>
        <v>0.2</v>
      </c>
      <c r="E59" s="779"/>
      <c r="F59" s="772"/>
      <c r="G59" s="772"/>
      <c r="H59" s="778">
        <f>2+2</f>
        <v>4</v>
      </c>
      <c r="I59" s="779">
        <f>C59*D59*H59</f>
        <v>0.496</v>
      </c>
      <c r="J59" s="780" t="s">
        <v>723</v>
      </c>
    </row>
    <row r="60" spans="1:10" ht="16.8" x14ac:dyDescent="0.3">
      <c r="A60" s="774"/>
      <c r="B60" s="781"/>
      <c r="C60" s="776">
        <v>24</v>
      </c>
      <c r="D60" s="771">
        <f>(0.05*4)</f>
        <v>0.2</v>
      </c>
      <c r="E60" s="779"/>
      <c r="F60" s="772"/>
      <c r="G60" s="772"/>
      <c r="H60" s="778">
        <f>4+4</f>
        <v>8</v>
      </c>
      <c r="I60" s="779">
        <f>C60*D60*H60</f>
        <v>38.400000000000006</v>
      </c>
      <c r="J60" s="780" t="s">
        <v>723</v>
      </c>
    </row>
    <row r="61" spans="1:10" ht="16.8" x14ac:dyDescent="0.3">
      <c r="A61" s="774"/>
      <c r="B61" s="798" t="s">
        <v>735</v>
      </c>
      <c r="C61" s="797"/>
      <c r="D61" s="797">
        <v>2.5100000000000001E-2</v>
      </c>
      <c r="E61" s="778">
        <v>0.3</v>
      </c>
      <c r="F61" s="775"/>
      <c r="G61" s="778">
        <v>8</v>
      </c>
      <c r="H61" s="778">
        <v>45</v>
      </c>
      <c r="I61" s="778">
        <f>D61*E61*G61*H61</f>
        <v>2.7107999999999999</v>
      </c>
      <c r="J61" s="780" t="s">
        <v>723</v>
      </c>
    </row>
    <row r="62" spans="1:10" ht="16.8" x14ac:dyDescent="0.3">
      <c r="A62" s="774"/>
      <c r="B62" s="781"/>
      <c r="C62" s="797">
        <f>1.95*2</f>
        <v>3.9</v>
      </c>
      <c r="D62" s="797">
        <v>2.5100000000000001E-2</v>
      </c>
      <c r="E62" s="778"/>
      <c r="F62" s="775"/>
      <c r="G62" s="778">
        <v>8</v>
      </c>
      <c r="H62" s="778">
        <v>3</v>
      </c>
      <c r="I62" s="778">
        <f>C62*D62*G62*H62</f>
        <v>2.3493599999999999</v>
      </c>
      <c r="J62" s="780" t="s">
        <v>723</v>
      </c>
    </row>
    <row r="63" spans="1:10" ht="16.8" x14ac:dyDescent="0.3">
      <c r="A63" s="774"/>
      <c r="B63" s="800" t="s">
        <v>636</v>
      </c>
      <c r="C63" s="797">
        <v>2.85</v>
      </c>
      <c r="D63" s="797">
        <f>0.065+0.065+(0.042*4)</f>
        <v>0.29800000000000004</v>
      </c>
      <c r="E63" s="778"/>
      <c r="F63" s="775"/>
      <c r="G63" s="775"/>
      <c r="H63" s="778">
        <v>5</v>
      </c>
      <c r="I63" s="778">
        <f>C63*D63*H63</f>
        <v>4.2465000000000011</v>
      </c>
      <c r="J63" s="780" t="s">
        <v>723</v>
      </c>
    </row>
    <row r="64" spans="1:10" ht="16.8" x14ac:dyDescent="0.3">
      <c r="A64" s="774"/>
      <c r="B64" s="801" t="s">
        <v>637</v>
      </c>
      <c r="C64" s="797">
        <v>6</v>
      </c>
      <c r="D64" s="797">
        <f>0.03*4</f>
        <v>0.12</v>
      </c>
      <c r="E64" s="778"/>
      <c r="F64" s="775"/>
      <c r="G64" s="775"/>
      <c r="H64" s="778">
        <v>8</v>
      </c>
      <c r="I64" s="778">
        <f>C64*D64*H64</f>
        <v>5.76</v>
      </c>
      <c r="J64" s="780" t="s">
        <v>723</v>
      </c>
    </row>
    <row r="65" spans="1:10" ht="16.8" x14ac:dyDescent="0.3">
      <c r="A65" s="774"/>
      <c r="B65" s="801"/>
      <c r="C65" s="797">
        <v>6</v>
      </c>
      <c r="D65" s="797">
        <f>0.03*4</f>
        <v>0.12</v>
      </c>
      <c r="E65" s="778"/>
      <c r="F65" s="775"/>
      <c r="G65" s="775"/>
      <c r="H65" s="778">
        <v>8</v>
      </c>
      <c r="I65" s="778">
        <f>C65*D65*H65</f>
        <v>5.76</v>
      </c>
      <c r="J65" s="780" t="s">
        <v>723</v>
      </c>
    </row>
    <row r="66" spans="1:10" ht="16.8" x14ac:dyDescent="0.3">
      <c r="A66" s="774"/>
      <c r="B66" s="802" t="s">
        <v>638</v>
      </c>
      <c r="C66" s="797">
        <v>1.44</v>
      </c>
      <c r="D66" s="797">
        <f>0.03*4</f>
        <v>0.12</v>
      </c>
      <c r="E66" s="778"/>
      <c r="F66" s="775"/>
      <c r="G66" s="775"/>
      <c r="H66" s="778">
        <v>14</v>
      </c>
      <c r="I66" s="778">
        <f>C66*D66*H66</f>
        <v>2.4191999999999996</v>
      </c>
      <c r="J66" s="780" t="s">
        <v>723</v>
      </c>
    </row>
    <row r="67" spans="1:10" ht="16.8" x14ac:dyDescent="0.3">
      <c r="A67" s="774"/>
      <c r="B67" s="802" t="s">
        <v>736</v>
      </c>
      <c r="C67" s="784">
        <v>24</v>
      </c>
      <c r="D67" s="784">
        <v>7.85E-2</v>
      </c>
      <c r="E67" s="785"/>
      <c r="F67" s="781"/>
      <c r="G67" s="775"/>
      <c r="H67" s="785">
        <v>4</v>
      </c>
      <c r="I67" s="785">
        <f>C67*D67*H67</f>
        <v>7.5359999999999996</v>
      </c>
      <c r="J67" s="780" t="s">
        <v>723</v>
      </c>
    </row>
    <row r="68" spans="1:10" ht="16.8" x14ac:dyDescent="0.3">
      <c r="A68" s="774"/>
      <c r="B68" s="803" t="s">
        <v>639</v>
      </c>
      <c r="C68" s="784">
        <v>9.8699999999999992</v>
      </c>
      <c r="D68" s="784">
        <f>0.1+0.1+(0.05*4)</f>
        <v>0.4</v>
      </c>
      <c r="E68" s="785"/>
      <c r="F68" s="781"/>
      <c r="G68" s="778">
        <v>5</v>
      </c>
      <c r="H68" s="785">
        <v>2</v>
      </c>
      <c r="I68" s="785">
        <f t="shared" ref="I68:I73" si="9">C68*D68*G68*H68</f>
        <v>39.479999999999997</v>
      </c>
      <c r="J68" s="780" t="s">
        <v>723</v>
      </c>
    </row>
    <row r="69" spans="1:10" ht="16.8" x14ac:dyDescent="0.3">
      <c r="A69" s="774"/>
      <c r="B69" s="803" t="s">
        <v>640</v>
      </c>
      <c r="C69" s="784">
        <v>1.81</v>
      </c>
      <c r="D69" s="784">
        <f>0.08+0.08+(0.045*4)</f>
        <v>0.33999999999999997</v>
      </c>
      <c r="E69" s="785"/>
      <c r="F69" s="781"/>
      <c r="G69" s="785">
        <v>5</v>
      </c>
      <c r="H69" s="785">
        <v>2</v>
      </c>
      <c r="I69" s="785">
        <f t="shared" si="9"/>
        <v>6.1539999999999999</v>
      </c>
      <c r="J69" s="780" t="s">
        <v>723</v>
      </c>
    </row>
    <row r="70" spans="1:10" ht="16.8" x14ac:dyDescent="0.3">
      <c r="A70" s="774"/>
      <c r="B70" s="803" t="s">
        <v>641</v>
      </c>
      <c r="C70" s="784">
        <v>2.68</v>
      </c>
      <c r="D70" s="784">
        <f>0.065+0.065+(0.042*4)</f>
        <v>0.29800000000000004</v>
      </c>
      <c r="E70" s="785"/>
      <c r="F70" s="781"/>
      <c r="G70" s="785">
        <v>5</v>
      </c>
      <c r="H70" s="785">
        <v>2</v>
      </c>
      <c r="I70" s="785">
        <f t="shared" si="9"/>
        <v>7.9864000000000015</v>
      </c>
      <c r="J70" s="780" t="s">
        <v>723</v>
      </c>
    </row>
    <row r="71" spans="1:10" ht="16.8" x14ac:dyDescent="0.3">
      <c r="A71" s="774"/>
      <c r="B71" s="803" t="s">
        <v>642</v>
      </c>
      <c r="C71" s="784">
        <v>2.1800000000000002</v>
      </c>
      <c r="D71" s="784">
        <f>0.05*4</f>
        <v>0.2</v>
      </c>
      <c r="E71" s="785"/>
      <c r="F71" s="781"/>
      <c r="G71" s="785">
        <v>5</v>
      </c>
      <c r="H71" s="785">
        <v>2</v>
      </c>
      <c r="I71" s="785">
        <f t="shared" si="9"/>
        <v>4.3600000000000003</v>
      </c>
      <c r="J71" s="780" t="s">
        <v>723</v>
      </c>
    </row>
    <row r="72" spans="1:10" ht="16.8" x14ac:dyDescent="0.3">
      <c r="A72" s="774"/>
      <c r="B72" s="803"/>
      <c r="C72" s="784">
        <v>2.85</v>
      </c>
      <c r="D72" s="784">
        <f>0.05*4</f>
        <v>0.2</v>
      </c>
      <c r="E72" s="785"/>
      <c r="F72" s="781"/>
      <c r="G72" s="785">
        <v>5</v>
      </c>
      <c r="H72" s="785">
        <v>1</v>
      </c>
      <c r="I72" s="785">
        <f t="shared" si="9"/>
        <v>2.8500000000000005</v>
      </c>
      <c r="J72" s="780" t="s">
        <v>723</v>
      </c>
    </row>
    <row r="73" spans="1:10" ht="16.8" x14ac:dyDescent="0.3">
      <c r="A73" s="774"/>
      <c r="B73" s="803"/>
      <c r="C73" s="784">
        <v>0.77</v>
      </c>
      <c r="D73" s="784">
        <f>0.05*4</f>
        <v>0.2</v>
      </c>
      <c r="E73" s="785"/>
      <c r="F73" s="781"/>
      <c r="G73" s="785">
        <v>5</v>
      </c>
      <c r="H73" s="785">
        <v>1</v>
      </c>
      <c r="I73" s="785">
        <f t="shared" si="9"/>
        <v>0.77000000000000013</v>
      </c>
      <c r="J73" s="780" t="s">
        <v>723</v>
      </c>
    </row>
    <row r="74" spans="1:10" ht="17.399999999999999" thickBot="1" x14ac:dyDescent="0.35">
      <c r="A74" s="774"/>
      <c r="B74" s="803" t="s">
        <v>643</v>
      </c>
      <c r="C74" s="784">
        <f>24+1+1</f>
        <v>26</v>
      </c>
      <c r="D74" s="784">
        <f>0.065+0.065+(0.042*4)</f>
        <v>0.29800000000000004</v>
      </c>
      <c r="E74" s="785"/>
      <c r="F74" s="781"/>
      <c r="G74" s="785"/>
      <c r="H74" s="785">
        <v>24</v>
      </c>
      <c r="I74" s="785">
        <f>C74*D74*H74</f>
        <v>185.95200000000003</v>
      </c>
      <c r="J74" s="780" t="s">
        <v>723</v>
      </c>
    </row>
    <row r="75" spans="1:10" ht="18" thickTop="1" thickBot="1" x14ac:dyDescent="0.35">
      <c r="A75" s="774"/>
      <c r="B75" s="781"/>
      <c r="C75" s="783"/>
      <c r="D75" s="784"/>
      <c r="E75" s="785"/>
      <c r="F75" s="781"/>
      <c r="G75" s="860" t="s">
        <v>365</v>
      </c>
      <c r="H75" s="861"/>
      <c r="I75" s="786">
        <f>SUM(I33:I74)</f>
        <v>487.85465999999997</v>
      </c>
      <c r="J75" s="787" t="s">
        <v>734</v>
      </c>
    </row>
    <row r="76" spans="1:10" x14ac:dyDescent="0.3">
      <c r="A76" s="774"/>
      <c r="B76" s="788"/>
      <c r="C76" s="789"/>
      <c r="D76" s="790"/>
      <c r="E76" s="791"/>
      <c r="F76" s="788"/>
      <c r="G76" s="791"/>
      <c r="H76" s="791"/>
      <c r="I76" s="792"/>
      <c r="J76" s="793"/>
    </row>
    <row r="77" spans="1:10" ht="17.399999999999999" thickBot="1" x14ac:dyDescent="0.35">
      <c r="A77" s="774">
        <f>A33+1</f>
        <v>1</v>
      </c>
      <c r="B77" s="775" t="s">
        <v>583</v>
      </c>
      <c r="C77" s="776">
        <v>23.75</v>
      </c>
      <c r="D77" s="771">
        <v>14.75</v>
      </c>
      <c r="E77" s="772"/>
      <c r="F77" s="772"/>
      <c r="G77" s="772"/>
      <c r="H77" s="778">
        <v>1</v>
      </c>
      <c r="I77" s="779">
        <f>C77*D77*H77</f>
        <v>350.3125</v>
      </c>
      <c r="J77" s="780" t="s">
        <v>728</v>
      </c>
    </row>
    <row r="78" spans="1:10" ht="18" thickTop="1" thickBot="1" x14ac:dyDescent="0.35">
      <c r="A78" s="774"/>
      <c r="B78" s="781"/>
      <c r="C78" s="783"/>
      <c r="D78" s="784"/>
      <c r="E78" s="785"/>
      <c r="F78" s="781"/>
      <c r="G78" s="860" t="s">
        <v>365</v>
      </c>
      <c r="H78" s="861"/>
      <c r="I78" s="786">
        <f>SUM(I77)</f>
        <v>350.3125</v>
      </c>
      <c r="J78" s="787" t="s">
        <v>734</v>
      </c>
    </row>
    <row r="79" spans="1:10" x14ac:dyDescent="0.3">
      <c r="A79" s="804"/>
      <c r="B79" s="788"/>
      <c r="C79" s="789"/>
      <c r="D79" s="790"/>
      <c r="E79" s="791"/>
      <c r="F79" s="788"/>
      <c r="G79" s="791"/>
      <c r="H79" s="791"/>
      <c r="I79" s="792"/>
      <c r="J79" s="793"/>
    </row>
    <row r="80" spans="1:10" ht="17.399999999999999" thickBot="1" x14ac:dyDescent="0.35">
      <c r="A80" s="804">
        <f>A77+1</f>
        <v>2</v>
      </c>
      <c r="B80" s="775" t="s">
        <v>584</v>
      </c>
      <c r="C80" s="776">
        <f>15+(2.4*4)+(1*4)</f>
        <v>28.6</v>
      </c>
      <c r="D80" s="771"/>
      <c r="E80" s="772"/>
      <c r="F80" s="772"/>
      <c r="G80" s="772"/>
      <c r="H80" s="778">
        <v>4</v>
      </c>
      <c r="I80" s="779">
        <f>C80*H80</f>
        <v>114.4</v>
      </c>
      <c r="J80" s="780" t="s">
        <v>728</v>
      </c>
    </row>
    <row r="81" spans="1:10" ht="18" thickTop="1" thickBot="1" x14ac:dyDescent="0.35">
      <c r="A81" s="804"/>
      <c r="B81" s="781"/>
      <c r="C81" s="783"/>
      <c r="D81" s="784"/>
      <c r="E81" s="785"/>
      <c r="F81" s="781"/>
      <c r="G81" s="860" t="s">
        <v>365</v>
      </c>
      <c r="H81" s="861"/>
      <c r="I81" s="786">
        <f>SUM(I80)</f>
        <v>114.4</v>
      </c>
      <c r="J81" s="787" t="s">
        <v>734</v>
      </c>
    </row>
    <row r="82" spans="1:10" x14ac:dyDescent="0.3">
      <c r="A82" s="804"/>
      <c r="B82" s="788"/>
      <c r="C82" s="789"/>
      <c r="D82" s="790"/>
      <c r="E82" s="791"/>
      <c r="F82" s="788"/>
      <c r="G82" s="791"/>
      <c r="H82" s="791"/>
      <c r="I82" s="792"/>
      <c r="J82" s="793"/>
    </row>
    <row r="83" spans="1:10" ht="17.399999999999999" thickBot="1" x14ac:dyDescent="0.35">
      <c r="A83" s="804">
        <f>A80+1</f>
        <v>3</v>
      </c>
      <c r="B83" s="775" t="s">
        <v>585</v>
      </c>
      <c r="C83" s="776">
        <f>15+(1+1)</f>
        <v>17</v>
      </c>
      <c r="D83" s="771"/>
      <c r="E83" s="772"/>
      <c r="F83" s="772"/>
      <c r="G83" s="772"/>
      <c r="H83" s="778">
        <v>8</v>
      </c>
      <c r="I83" s="779">
        <f>C83*H83</f>
        <v>136</v>
      </c>
      <c r="J83" s="780" t="s">
        <v>728</v>
      </c>
    </row>
    <row r="84" spans="1:10" ht="18" thickTop="1" thickBot="1" x14ac:dyDescent="0.35">
      <c r="A84" s="805"/>
      <c r="B84" s="806"/>
      <c r="C84" s="807"/>
      <c r="D84" s="808"/>
      <c r="E84" s="809"/>
      <c r="F84" s="806"/>
      <c r="G84" s="864" t="s">
        <v>365</v>
      </c>
      <c r="H84" s="865"/>
      <c r="I84" s="810">
        <f>SUM(I83)</f>
        <v>136</v>
      </c>
      <c r="J84" s="811" t="s">
        <v>734</v>
      </c>
    </row>
    <row r="85" spans="1:10" x14ac:dyDescent="0.3">
      <c r="A85" s="764" t="s">
        <v>395</v>
      </c>
      <c r="B85" s="765" t="s">
        <v>590</v>
      </c>
      <c r="C85" s="766"/>
      <c r="D85" s="766"/>
      <c r="E85" s="767"/>
      <c r="F85" s="767"/>
      <c r="G85" s="767"/>
      <c r="H85" s="767"/>
      <c r="I85" s="767"/>
      <c r="J85" s="768"/>
    </row>
    <row r="86" spans="1:10" ht="17.399999999999999" thickBot="1" x14ac:dyDescent="0.35">
      <c r="A86" s="774">
        <v>1</v>
      </c>
      <c r="B86" s="775" t="s">
        <v>591</v>
      </c>
      <c r="C86" s="776">
        <v>2.34</v>
      </c>
      <c r="D86" s="771">
        <v>0.8</v>
      </c>
      <c r="E86" s="771"/>
      <c r="F86" s="772"/>
      <c r="G86" s="777"/>
      <c r="H86" s="778">
        <v>1</v>
      </c>
      <c r="I86" s="779">
        <f>C86*D86*H86</f>
        <v>1.8719999999999999</v>
      </c>
      <c r="J86" s="780" t="s">
        <v>723</v>
      </c>
    </row>
    <row r="87" spans="1:10" ht="18" thickTop="1" thickBot="1" x14ac:dyDescent="0.35">
      <c r="A87" s="774"/>
      <c r="B87" s="781"/>
      <c r="C87" s="783"/>
      <c r="D87" s="784"/>
      <c r="E87" s="785"/>
      <c r="F87" s="781"/>
      <c r="G87" s="860" t="s">
        <v>365</v>
      </c>
      <c r="H87" s="861"/>
      <c r="I87" s="786">
        <f>SUM(I86:I86)</f>
        <v>1.8719999999999999</v>
      </c>
      <c r="J87" s="787" t="s">
        <v>734</v>
      </c>
    </row>
    <row r="88" spans="1:10" x14ac:dyDescent="0.3">
      <c r="A88" s="812"/>
      <c r="B88" s="788"/>
      <c r="C88" s="789"/>
      <c r="D88" s="790"/>
      <c r="E88" s="791"/>
      <c r="F88" s="788"/>
      <c r="G88" s="813"/>
      <c r="H88" s="813"/>
      <c r="I88" s="792"/>
      <c r="J88" s="793"/>
    </row>
    <row r="89" spans="1:10" ht="17.399999999999999" thickBot="1" x14ac:dyDescent="0.35">
      <c r="A89" s="774">
        <f>A86+1</f>
        <v>2</v>
      </c>
      <c r="B89" s="775" t="s">
        <v>592</v>
      </c>
      <c r="C89" s="814">
        <v>2.34</v>
      </c>
      <c r="D89" s="797">
        <v>0.8</v>
      </c>
      <c r="E89" s="797">
        <v>0.23</v>
      </c>
      <c r="F89" s="775"/>
      <c r="G89" s="815"/>
      <c r="H89" s="785">
        <v>1</v>
      </c>
      <c r="I89" s="785">
        <f>C89*D89*E89*H89</f>
        <v>0.43056</v>
      </c>
      <c r="J89" s="816" t="s">
        <v>723</v>
      </c>
    </row>
    <row r="90" spans="1:10" ht="18" thickTop="1" thickBot="1" x14ac:dyDescent="0.35">
      <c r="A90" s="774"/>
      <c r="B90" s="795"/>
      <c r="C90" s="817"/>
      <c r="D90" s="818"/>
      <c r="E90" s="819"/>
      <c r="F90" s="795"/>
      <c r="G90" s="862" t="s">
        <v>365</v>
      </c>
      <c r="H90" s="863"/>
      <c r="I90" s="820">
        <f>SUM(I89:I89)</f>
        <v>0.43056</v>
      </c>
      <c r="J90" s="821" t="s">
        <v>734</v>
      </c>
    </row>
    <row r="91" spans="1:10" x14ac:dyDescent="0.3">
      <c r="A91" s="812"/>
      <c r="B91" s="788"/>
      <c r="C91" s="789"/>
      <c r="D91" s="790"/>
      <c r="E91" s="791"/>
      <c r="F91" s="788"/>
      <c r="G91" s="813"/>
      <c r="H91" s="813"/>
      <c r="I91" s="792"/>
      <c r="J91" s="793"/>
    </row>
    <row r="92" spans="1:10" ht="16.8" x14ac:dyDescent="0.3">
      <c r="A92" s="774">
        <f>A89+1</f>
        <v>3</v>
      </c>
      <c r="B92" s="775" t="s">
        <v>594</v>
      </c>
      <c r="C92" s="814">
        <v>2.19</v>
      </c>
      <c r="D92" s="797"/>
      <c r="E92" s="797">
        <v>0.3</v>
      </c>
      <c r="F92" s="775"/>
      <c r="G92" s="815"/>
      <c r="H92" s="785">
        <v>2</v>
      </c>
      <c r="I92" s="785">
        <f>C92*E92*H92</f>
        <v>1.3139999999999998</v>
      </c>
      <c r="J92" s="816" t="s">
        <v>723</v>
      </c>
    </row>
    <row r="93" spans="1:10" ht="17.399999999999999" thickBot="1" x14ac:dyDescent="0.35">
      <c r="A93" s="774"/>
      <c r="B93" s="781"/>
      <c r="C93" s="814">
        <v>0.65</v>
      </c>
      <c r="D93" s="797"/>
      <c r="E93" s="797">
        <v>0.3</v>
      </c>
      <c r="F93" s="775"/>
      <c r="G93" s="815"/>
      <c r="H93" s="785">
        <v>2</v>
      </c>
      <c r="I93" s="785">
        <f>C93*E93*H93</f>
        <v>0.39</v>
      </c>
      <c r="J93" s="816" t="s">
        <v>723</v>
      </c>
    </row>
    <row r="94" spans="1:10" ht="18" thickTop="1" thickBot="1" x14ac:dyDescent="0.35">
      <c r="A94" s="774"/>
      <c r="B94" s="795"/>
      <c r="C94" s="817"/>
      <c r="D94" s="818"/>
      <c r="E94" s="819"/>
      <c r="F94" s="795"/>
      <c r="G94" s="862" t="s">
        <v>365</v>
      </c>
      <c r="H94" s="863"/>
      <c r="I94" s="820">
        <f>SUM(I92:I93)</f>
        <v>1.7039999999999997</v>
      </c>
      <c r="J94" s="821" t="s">
        <v>734</v>
      </c>
    </row>
    <row r="95" spans="1:10" x14ac:dyDescent="0.3">
      <c r="A95" s="812"/>
      <c r="B95" s="788"/>
      <c r="C95" s="789"/>
      <c r="D95" s="790"/>
      <c r="E95" s="791"/>
      <c r="F95" s="788"/>
      <c r="G95" s="813"/>
      <c r="H95" s="813"/>
      <c r="I95" s="792"/>
      <c r="J95" s="793"/>
    </row>
    <row r="96" spans="1:10" ht="17.399999999999999" thickBot="1" x14ac:dyDescent="0.35">
      <c r="A96" s="774">
        <f>A92+1</f>
        <v>4</v>
      </c>
      <c r="B96" s="775" t="s">
        <v>596</v>
      </c>
      <c r="C96" s="814">
        <v>2.08</v>
      </c>
      <c r="D96" s="797">
        <v>0.54</v>
      </c>
      <c r="E96" s="797">
        <v>0.1</v>
      </c>
      <c r="F96" s="775"/>
      <c r="G96" s="815"/>
      <c r="H96" s="785">
        <v>1</v>
      </c>
      <c r="I96" s="785">
        <f>C96*D96*E96*H96</f>
        <v>0.11232000000000003</v>
      </c>
      <c r="J96" s="816" t="s">
        <v>723</v>
      </c>
    </row>
    <row r="97" spans="1:12" ht="18" thickTop="1" thickBot="1" x14ac:dyDescent="0.35">
      <c r="A97" s="774"/>
      <c r="B97" s="795"/>
      <c r="C97" s="817"/>
      <c r="D97" s="818"/>
      <c r="E97" s="819"/>
      <c r="F97" s="795"/>
      <c r="G97" s="862" t="s">
        <v>365</v>
      </c>
      <c r="H97" s="863"/>
      <c r="I97" s="820">
        <f>SUM(I96:I96)</f>
        <v>0.11232000000000003</v>
      </c>
      <c r="J97" s="821" t="s">
        <v>734</v>
      </c>
    </row>
    <row r="98" spans="1:12" x14ac:dyDescent="0.3">
      <c r="A98" s="812"/>
      <c r="B98" s="788"/>
      <c r="C98" s="789"/>
      <c r="D98" s="790"/>
      <c r="E98" s="791"/>
      <c r="F98" s="788"/>
      <c r="G98" s="813"/>
      <c r="H98" s="813"/>
      <c r="I98" s="792"/>
      <c r="J98" s="793"/>
    </row>
    <row r="99" spans="1:12" ht="16.8" x14ac:dyDescent="0.3">
      <c r="A99" s="774">
        <f>A96+1</f>
        <v>5</v>
      </c>
      <c r="B99" s="775" t="s">
        <v>598</v>
      </c>
      <c r="C99" s="814">
        <v>2</v>
      </c>
      <c r="D99" s="797">
        <v>0.46</v>
      </c>
      <c r="E99" s="797"/>
      <c r="F99" s="775"/>
      <c r="G99" s="815"/>
      <c r="H99" s="785">
        <v>1</v>
      </c>
      <c r="I99" s="785">
        <f>C99*D99*H99</f>
        <v>0.92</v>
      </c>
      <c r="J99" s="816" t="s">
        <v>723</v>
      </c>
    </row>
    <row r="100" spans="1:12" ht="16.8" x14ac:dyDescent="0.3">
      <c r="A100" s="774"/>
      <c r="B100" s="775" t="s">
        <v>603</v>
      </c>
      <c r="C100" s="814">
        <v>2.94</v>
      </c>
      <c r="D100" s="797">
        <v>2.1</v>
      </c>
      <c r="E100" s="797"/>
      <c r="F100" s="775"/>
      <c r="G100" s="815"/>
      <c r="H100" s="785">
        <v>1</v>
      </c>
      <c r="I100" s="785">
        <f>(C100*D100*H100)-I99</f>
        <v>5.2540000000000004</v>
      </c>
      <c r="J100" s="816" t="s">
        <v>723</v>
      </c>
    </row>
    <row r="101" spans="1:12" ht="17.399999999999999" thickBot="1" x14ac:dyDescent="0.35">
      <c r="A101" s="774"/>
      <c r="B101" s="775" t="s">
        <v>599</v>
      </c>
      <c r="C101" s="814">
        <f>2+2+0.46+0.46</f>
        <v>4.92</v>
      </c>
      <c r="D101" s="797"/>
      <c r="E101" s="797">
        <v>0.2</v>
      </c>
      <c r="F101" s="775"/>
      <c r="G101" s="815"/>
      <c r="H101" s="785">
        <v>1</v>
      </c>
      <c r="I101" s="785">
        <f>C101*E101*H101</f>
        <v>0.98399999999999999</v>
      </c>
      <c r="J101" s="816" t="s">
        <v>723</v>
      </c>
    </row>
    <row r="102" spans="1:12" ht="18" thickTop="1" thickBot="1" x14ac:dyDescent="0.35">
      <c r="A102" s="822"/>
      <c r="B102" s="781"/>
      <c r="C102" s="783"/>
      <c r="D102" s="784"/>
      <c r="E102" s="785"/>
      <c r="F102" s="781"/>
      <c r="G102" s="860" t="s">
        <v>365</v>
      </c>
      <c r="H102" s="861"/>
      <c r="I102" s="786">
        <f>SUM(I99:I101)</f>
        <v>7.1580000000000004</v>
      </c>
      <c r="J102" s="787" t="s">
        <v>734</v>
      </c>
    </row>
    <row r="103" spans="1:12" x14ac:dyDescent="0.3">
      <c r="A103" s="764" t="s">
        <v>589</v>
      </c>
      <c r="B103" s="765" t="s">
        <v>574</v>
      </c>
      <c r="C103" s="766"/>
      <c r="D103" s="766"/>
      <c r="E103" s="823"/>
      <c r="F103" s="767"/>
      <c r="G103" s="823"/>
      <c r="H103" s="823"/>
      <c r="I103" s="824"/>
      <c r="J103" s="825"/>
    </row>
    <row r="104" spans="1:12" ht="17.399999999999999" thickBot="1" x14ac:dyDescent="0.35">
      <c r="A104" s="804">
        <v>1</v>
      </c>
      <c r="B104" s="775" t="s">
        <v>608</v>
      </c>
      <c r="C104" s="776">
        <v>15</v>
      </c>
      <c r="D104" s="771">
        <v>1.2</v>
      </c>
      <c r="E104" s="772"/>
      <c r="F104" s="772"/>
      <c r="G104" s="772"/>
      <c r="H104" s="778">
        <v>2</v>
      </c>
      <c r="I104" s="779">
        <f>C104*D104*H104</f>
        <v>36</v>
      </c>
      <c r="J104" s="780" t="s">
        <v>728</v>
      </c>
    </row>
    <row r="105" spans="1:12" ht="18" thickTop="1" thickBot="1" x14ac:dyDescent="0.35">
      <c r="A105" s="804"/>
      <c r="B105" s="795"/>
      <c r="C105" s="817"/>
      <c r="D105" s="818"/>
      <c r="E105" s="819"/>
      <c r="F105" s="795"/>
      <c r="G105" s="862" t="s">
        <v>365</v>
      </c>
      <c r="H105" s="863"/>
      <c r="I105" s="820">
        <f>SUM(I104)</f>
        <v>36</v>
      </c>
      <c r="J105" s="821" t="s">
        <v>734</v>
      </c>
    </row>
    <row r="106" spans="1:12" x14ac:dyDescent="0.3">
      <c r="A106" s="804"/>
      <c r="B106" s="772"/>
      <c r="C106" s="776"/>
      <c r="D106" s="771"/>
      <c r="E106" s="779"/>
      <c r="F106" s="772"/>
      <c r="G106" s="779"/>
      <c r="H106" s="779"/>
      <c r="I106" s="826"/>
      <c r="J106" s="827"/>
    </row>
    <row r="107" spans="1:12" ht="17.399999999999999" thickBot="1" x14ac:dyDescent="0.35">
      <c r="A107" s="804">
        <f>A104+1</f>
        <v>2</v>
      </c>
      <c r="B107" s="775" t="s">
        <v>414</v>
      </c>
      <c r="C107" s="776">
        <f>C104+0.1+0.1</f>
        <v>15.2</v>
      </c>
      <c r="D107" s="771">
        <f>D104+0.1</f>
        <v>1.3</v>
      </c>
      <c r="E107" s="772"/>
      <c r="F107" s="772"/>
      <c r="G107" s="772"/>
      <c r="H107" s="778">
        <v>2</v>
      </c>
      <c r="I107" s="779">
        <f>C107*D107*H107</f>
        <v>39.519999999999996</v>
      </c>
      <c r="J107" s="780" t="s">
        <v>728</v>
      </c>
    </row>
    <row r="108" spans="1:12" ht="18" thickTop="1" thickBot="1" x14ac:dyDescent="0.35">
      <c r="A108" s="804"/>
      <c r="B108" s="781"/>
      <c r="C108" s="783"/>
      <c r="D108" s="784"/>
      <c r="E108" s="785"/>
      <c r="F108" s="781"/>
      <c r="G108" s="860" t="s">
        <v>365</v>
      </c>
      <c r="H108" s="861"/>
      <c r="I108" s="786">
        <f>SUM(I107)</f>
        <v>39.519999999999996</v>
      </c>
      <c r="J108" s="787" t="s">
        <v>734</v>
      </c>
    </row>
    <row r="109" spans="1:12" x14ac:dyDescent="0.3">
      <c r="A109" s="804"/>
      <c r="B109" s="788"/>
      <c r="C109" s="789"/>
      <c r="D109" s="790"/>
      <c r="E109" s="791"/>
      <c r="F109" s="788"/>
      <c r="G109" s="791"/>
      <c r="H109" s="791"/>
      <c r="I109" s="792"/>
      <c r="J109" s="793"/>
    </row>
    <row r="110" spans="1:12" ht="17.399999999999999" thickBot="1" x14ac:dyDescent="0.35">
      <c r="A110" s="804">
        <f>A107+1</f>
        <v>3</v>
      </c>
      <c r="B110" s="775" t="s">
        <v>696</v>
      </c>
      <c r="C110" s="776">
        <f>3.28*4</f>
        <v>13.12</v>
      </c>
      <c r="D110" s="771"/>
      <c r="E110" s="772"/>
      <c r="F110" s="828"/>
      <c r="G110" s="829">
        <v>2</v>
      </c>
      <c r="H110" s="785">
        <v>4</v>
      </c>
      <c r="I110" s="779">
        <f>C110*G110*H110</f>
        <v>104.96</v>
      </c>
      <c r="J110" s="780" t="s">
        <v>726</v>
      </c>
    </row>
    <row r="111" spans="1:12" ht="18" thickTop="1" thickBot="1" x14ac:dyDescent="0.35">
      <c r="A111" s="804"/>
      <c r="B111" s="781" t="s">
        <v>697</v>
      </c>
      <c r="C111" s="783"/>
      <c r="D111" s="784"/>
      <c r="E111" s="785"/>
      <c r="F111" s="866" t="s">
        <v>656</v>
      </c>
      <c r="G111" s="867"/>
      <c r="H111" s="867"/>
      <c r="I111" s="786">
        <f>SUM(I110)</f>
        <v>104.96</v>
      </c>
      <c r="J111" s="787" t="s">
        <v>737</v>
      </c>
    </row>
    <row r="112" spans="1:12" ht="15.6" thickTop="1" thickBot="1" x14ac:dyDescent="0.35">
      <c r="A112" s="804"/>
      <c r="B112" s="830" t="s">
        <v>698</v>
      </c>
      <c r="C112" s="831">
        <f>43.9/6</f>
        <v>7.3166666666666664</v>
      </c>
      <c r="D112" s="818"/>
      <c r="E112" s="819"/>
      <c r="F112" s="868" t="s">
        <v>657</v>
      </c>
      <c r="G112" s="869"/>
      <c r="H112" s="869"/>
      <c r="I112" s="832">
        <f>I111*C112</f>
        <v>767.95733333333328</v>
      </c>
      <c r="J112" s="787" t="s">
        <v>213</v>
      </c>
      <c r="L112" s="683">
        <f>41/6</f>
        <v>6.833333333333333</v>
      </c>
    </row>
    <row r="113" spans="1:10" x14ac:dyDescent="0.3">
      <c r="A113" s="804"/>
      <c r="B113" s="788"/>
      <c r="C113" s="789"/>
      <c r="D113" s="790"/>
      <c r="E113" s="791"/>
      <c r="F113" s="788"/>
      <c r="G113" s="791"/>
      <c r="H113" s="791"/>
      <c r="I113" s="792"/>
      <c r="J113" s="793"/>
    </row>
    <row r="114" spans="1:10" ht="17.399999999999999" thickBot="1" x14ac:dyDescent="0.35">
      <c r="A114" s="804">
        <f>A110+1</f>
        <v>4</v>
      </c>
      <c r="B114" s="775" t="s">
        <v>655</v>
      </c>
      <c r="C114" s="776">
        <f>24+1+1</f>
        <v>26</v>
      </c>
      <c r="D114" s="771"/>
      <c r="E114" s="772"/>
      <c r="F114" s="828"/>
      <c r="G114" s="829"/>
      <c r="H114" s="785">
        <v>11</v>
      </c>
      <c r="I114" s="779">
        <f>C114*H114</f>
        <v>286</v>
      </c>
      <c r="J114" s="780" t="s">
        <v>726</v>
      </c>
    </row>
    <row r="115" spans="1:10" ht="18" thickTop="1" thickBot="1" x14ac:dyDescent="0.35">
      <c r="A115" s="804"/>
      <c r="B115" s="781" t="s">
        <v>658</v>
      </c>
      <c r="C115" s="783"/>
      <c r="D115" s="784"/>
      <c r="E115" s="785"/>
      <c r="F115" s="866" t="s">
        <v>656</v>
      </c>
      <c r="G115" s="867"/>
      <c r="H115" s="867"/>
      <c r="I115" s="786">
        <f>SUM(I114)</f>
        <v>286</v>
      </c>
      <c r="J115" s="787" t="s">
        <v>737</v>
      </c>
    </row>
    <row r="116" spans="1:10" ht="15.6" thickTop="1" thickBot="1" x14ac:dyDescent="0.35">
      <c r="A116" s="804"/>
      <c r="B116" s="830" t="s">
        <v>698</v>
      </c>
      <c r="C116" s="831">
        <f>41/6</f>
        <v>6.833333333333333</v>
      </c>
      <c r="D116" s="818"/>
      <c r="E116" s="819"/>
      <c r="F116" s="868" t="s">
        <v>657</v>
      </c>
      <c r="G116" s="869"/>
      <c r="H116" s="869"/>
      <c r="I116" s="832">
        <f>I115*C116</f>
        <v>1954.3333333333333</v>
      </c>
      <c r="J116" s="787" t="s">
        <v>213</v>
      </c>
    </row>
    <row r="117" spans="1:10" x14ac:dyDescent="0.3">
      <c r="A117" s="804"/>
      <c r="B117" s="788"/>
      <c r="C117" s="789"/>
      <c r="D117" s="790"/>
      <c r="E117" s="791"/>
      <c r="F117" s="788"/>
      <c r="G117" s="791"/>
      <c r="H117" s="791"/>
      <c r="I117" s="792"/>
      <c r="J117" s="793"/>
    </row>
    <row r="118" spans="1:10" ht="16.8" x14ac:dyDescent="0.3">
      <c r="A118" s="804">
        <f>A114+1</f>
        <v>5</v>
      </c>
      <c r="B118" s="775" t="s">
        <v>613</v>
      </c>
      <c r="C118" s="776">
        <f>24+1+1</f>
        <v>26</v>
      </c>
      <c r="D118" s="771">
        <v>8.2899999999999991</v>
      </c>
      <c r="E118" s="772"/>
      <c r="F118" s="772"/>
      <c r="G118" s="772"/>
      <c r="H118" s="778">
        <v>2</v>
      </c>
      <c r="I118" s="779">
        <f>C118*D118*H118</f>
        <v>431.07999999999993</v>
      </c>
      <c r="J118" s="780" t="s">
        <v>728</v>
      </c>
    </row>
    <row r="119" spans="1:10" ht="17.399999999999999" thickBot="1" x14ac:dyDescent="0.35">
      <c r="A119" s="812"/>
      <c r="B119" s="781"/>
      <c r="C119" s="776">
        <f>24+1+1</f>
        <v>26</v>
      </c>
      <c r="D119" s="771">
        <v>2.83</v>
      </c>
      <c r="E119" s="772"/>
      <c r="F119" s="772"/>
      <c r="G119" s="772"/>
      <c r="H119" s="778">
        <v>2</v>
      </c>
      <c r="I119" s="779">
        <f>C119*D119*H119</f>
        <v>147.16</v>
      </c>
      <c r="J119" s="780" t="s">
        <v>728</v>
      </c>
    </row>
    <row r="120" spans="1:10" ht="18" thickTop="1" thickBot="1" x14ac:dyDescent="0.35">
      <c r="A120" s="812"/>
      <c r="B120" s="795"/>
      <c r="C120" s="817"/>
      <c r="D120" s="818"/>
      <c r="E120" s="819"/>
      <c r="F120" s="795"/>
      <c r="G120" s="862" t="s">
        <v>365</v>
      </c>
      <c r="H120" s="863"/>
      <c r="I120" s="820">
        <f>SUM(I118:I119)</f>
        <v>578.2399999999999</v>
      </c>
      <c r="J120" s="821" t="s">
        <v>734</v>
      </c>
    </row>
    <row r="121" spans="1:10" x14ac:dyDescent="0.3">
      <c r="A121" s="727"/>
      <c r="B121" s="828"/>
      <c r="C121" s="790"/>
      <c r="D121" s="790"/>
      <c r="E121" s="791"/>
      <c r="F121" s="788"/>
      <c r="G121" s="813"/>
      <c r="H121" s="813"/>
      <c r="I121" s="792"/>
      <c r="J121" s="833"/>
    </row>
    <row r="122" spans="1:10" ht="17.399999999999999" thickBot="1" x14ac:dyDescent="0.35">
      <c r="A122" s="804">
        <f>A118+1</f>
        <v>6</v>
      </c>
      <c r="B122" s="775" t="s">
        <v>666</v>
      </c>
      <c r="C122" s="797">
        <f>24+1+1</f>
        <v>26</v>
      </c>
      <c r="D122" s="797"/>
      <c r="E122" s="775"/>
      <c r="F122" s="775"/>
      <c r="G122" s="775"/>
      <c r="H122" s="778">
        <v>1</v>
      </c>
      <c r="I122" s="778">
        <f>C122*H122</f>
        <v>26</v>
      </c>
      <c r="J122" s="780" t="s">
        <v>728</v>
      </c>
    </row>
    <row r="123" spans="1:10" ht="18" thickTop="1" thickBot="1" x14ac:dyDescent="0.35">
      <c r="A123" s="804"/>
      <c r="B123" s="795"/>
      <c r="C123" s="817"/>
      <c r="D123" s="818"/>
      <c r="E123" s="819"/>
      <c r="F123" s="795"/>
      <c r="G123" s="862" t="s">
        <v>365</v>
      </c>
      <c r="H123" s="863"/>
      <c r="I123" s="820">
        <f>SUM(I122)</f>
        <v>26</v>
      </c>
      <c r="J123" s="821" t="s">
        <v>734</v>
      </c>
    </row>
    <row r="124" spans="1:10" x14ac:dyDescent="0.3">
      <c r="A124" s="727"/>
      <c r="B124" s="828"/>
      <c r="C124" s="790"/>
      <c r="D124" s="790"/>
      <c r="E124" s="791"/>
      <c r="F124" s="788"/>
      <c r="G124" s="813"/>
      <c r="H124" s="813"/>
      <c r="I124" s="792"/>
      <c r="J124" s="833"/>
    </row>
    <row r="125" spans="1:10" ht="17.399999999999999" thickBot="1" x14ac:dyDescent="0.35">
      <c r="A125" s="804">
        <f>A122+1</f>
        <v>7</v>
      </c>
      <c r="B125" s="775" t="s">
        <v>685</v>
      </c>
      <c r="C125" s="797">
        <f>((24+1+1)*4)+(8.29*4)+(2.68*4)</f>
        <v>147.88</v>
      </c>
      <c r="D125" s="797"/>
      <c r="E125" s="775"/>
      <c r="F125" s="775"/>
      <c r="G125" s="775"/>
      <c r="H125" s="778">
        <v>1</v>
      </c>
      <c r="I125" s="778">
        <f>C125*H125</f>
        <v>147.88</v>
      </c>
      <c r="J125" s="780" t="s">
        <v>728</v>
      </c>
    </row>
    <row r="126" spans="1:10" ht="18" thickTop="1" thickBot="1" x14ac:dyDescent="0.35">
      <c r="A126" s="804"/>
      <c r="B126" s="795"/>
      <c r="C126" s="817"/>
      <c r="D126" s="818"/>
      <c r="E126" s="819"/>
      <c r="F126" s="795"/>
      <c r="G126" s="862" t="s">
        <v>365</v>
      </c>
      <c r="H126" s="863"/>
      <c r="I126" s="820">
        <f>SUM(I125)</f>
        <v>147.88</v>
      </c>
      <c r="J126" s="821" t="s">
        <v>734</v>
      </c>
    </row>
    <row r="127" spans="1:10" x14ac:dyDescent="0.3">
      <c r="A127" s="764" t="s">
        <v>589</v>
      </c>
      <c r="B127" s="765" t="s">
        <v>616</v>
      </c>
      <c r="C127" s="766"/>
      <c r="D127" s="766"/>
      <c r="E127" s="823"/>
      <c r="F127" s="767"/>
      <c r="G127" s="823"/>
      <c r="H127" s="823"/>
      <c r="I127" s="824"/>
      <c r="J127" s="825"/>
    </row>
    <row r="128" spans="1:10" ht="17.399999999999999" thickBot="1" x14ac:dyDescent="0.35">
      <c r="A128" s="804">
        <v>1</v>
      </c>
      <c r="B128" s="775" t="s">
        <v>623</v>
      </c>
      <c r="C128" s="776">
        <f>(6+2.1)*4</f>
        <v>32.4</v>
      </c>
      <c r="D128" s="771"/>
      <c r="E128" s="772"/>
      <c r="F128" s="772"/>
      <c r="G128" s="772"/>
      <c r="H128" s="778">
        <v>2</v>
      </c>
      <c r="I128" s="779">
        <f>C128*H128</f>
        <v>64.8</v>
      </c>
      <c r="J128" s="780" t="s">
        <v>728</v>
      </c>
    </row>
    <row r="129" spans="1:10" ht="18" thickTop="1" thickBot="1" x14ac:dyDescent="0.35">
      <c r="A129" s="804"/>
      <c r="B129" s="795"/>
      <c r="C129" s="817"/>
      <c r="D129" s="818"/>
      <c r="E129" s="819"/>
      <c r="F129" s="795"/>
      <c r="G129" s="862" t="s">
        <v>365</v>
      </c>
      <c r="H129" s="863"/>
      <c r="I129" s="820">
        <f>SUM(I128)</f>
        <v>64.8</v>
      </c>
      <c r="J129" s="821" t="s">
        <v>734</v>
      </c>
    </row>
    <row r="130" spans="1:10" x14ac:dyDescent="0.3">
      <c r="A130" s="804"/>
      <c r="B130" s="772"/>
      <c r="C130" s="776"/>
      <c r="D130" s="771"/>
      <c r="E130" s="779"/>
      <c r="F130" s="772"/>
      <c r="G130" s="779"/>
      <c r="H130" s="779"/>
      <c r="I130" s="826"/>
      <c r="J130" s="827"/>
    </row>
    <row r="131" spans="1:10" ht="17.399999999999999" thickBot="1" x14ac:dyDescent="0.35">
      <c r="A131" s="804">
        <f>A128+1</f>
        <v>2</v>
      </c>
      <c r="B131" s="775" t="s">
        <v>622</v>
      </c>
      <c r="C131" s="776"/>
      <c r="D131" s="771"/>
      <c r="E131" s="772"/>
      <c r="F131" s="772"/>
      <c r="G131" s="772">
        <v>8</v>
      </c>
      <c r="H131" s="778">
        <v>2</v>
      </c>
      <c r="I131" s="779">
        <f>G131*H131</f>
        <v>16</v>
      </c>
      <c r="J131" s="780" t="s">
        <v>728</v>
      </c>
    </row>
    <row r="132" spans="1:10" ht="18" thickTop="1" thickBot="1" x14ac:dyDescent="0.35">
      <c r="A132" s="804"/>
      <c r="B132" s="781"/>
      <c r="C132" s="783"/>
      <c r="D132" s="784"/>
      <c r="E132" s="785"/>
      <c r="F132" s="781"/>
      <c r="G132" s="860" t="s">
        <v>365</v>
      </c>
      <c r="H132" s="861"/>
      <c r="I132" s="786">
        <f>SUM(I131)</f>
        <v>16</v>
      </c>
      <c r="J132" s="787" t="s">
        <v>734</v>
      </c>
    </row>
    <row r="133" spans="1:10" x14ac:dyDescent="0.3">
      <c r="A133" s="804"/>
      <c r="B133" s="788"/>
      <c r="C133" s="789"/>
      <c r="D133" s="790"/>
      <c r="E133" s="791"/>
      <c r="F133" s="788"/>
      <c r="G133" s="791"/>
      <c r="H133" s="791"/>
      <c r="I133" s="792"/>
      <c r="J133" s="793"/>
    </row>
    <row r="134" spans="1:10" ht="16.8" x14ac:dyDescent="0.3">
      <c r="A134" s="804">
        <f>A131+1</f>
        <v>3</v>
      </c>
      <c r="B134" s="775" t="s">
        <v>613</v>
      </c>
      <c r="C134" s="776">
        <f>24+1+1</f>
        <v>26</v>
      </c>
      <c r="D134" s="771">
        <v>8.2899999999999991</v>
      </c>
      <c r="E134" s="772"/>
      <c r="F134" s="772"/>
      <c r="G134" s="772"/>
      <c r="H134" s="778">
        <v>2</v>
      </c>
      <c r="I134" s="779">
        <f>C134*D134*H134</f>
        <v>431.07999999999993</v>
      </c>
      <c r="J134" s="780" t="s">
        <v>728</v>
      </c>
    </row>
    <row r="135" spans="1:10" ht="17.399999999999999" thickBot="1" x14ac:dyDescent="0.35">
      <c r="A135" s="812"/>
      <c r="B135" s="781"/>
      <c r="C135" s="776">
        <f>24+1+1</f>
        <v>26</v>
      </c>
      <c r="D135" s="771">
        <v>2.83</v>
      </c>
      <c r="E135" s="772"/>
      <c r="F135" s="772"/>
      <c r="G135" s="772"/>
      <c r="H135" s="778">
        <v>2</v>
      </c>
      <c r="I135" s="779">
        <f>C135*D135*H135</f>
        <v>147.16</v>
      </c>
      <c r="J135" s="780" t="s">
        <v>728</v>
      </c>
    </row>
    <row r="136" spans="1:10" ht="18" thickTop="1" thickBot="1" x14ac:dyDescent="0.35">
      <c r="A136" s="834"/>
      <c r="B136" s="835"/>
      <c r="C136" s="836"/>
      <c r="D136" s="837"/>
      <c r="E136" s="838"/>
      <c r="F136" s="835"/>
      <c r="G136" s="858" t="s">
        <v>365</v>
      </c>
      <c r="H136" s="859"/>
      <c r="I136" s="839">
        <f>SUM(I134:I135)</f>
        <v>578.2399999999999</v>
      </c>
      <c r="J136" s="840" t="s">
        <v>734</v>
      </c>
    </row>
    <row r="137" spans="1:10" ht="15" thickTop="1" x14ac:dyDescent="0.3"/>
  </sheetData>
  <mergeCells count="28">
    <mergeCell ref="G123:H123"/>
    <mergeCell ref="G81:H81"/>
    <mergeCell ref="F112:H112"/>
    <mergeCell ref="A1:J1"/>
    <mergeCell ref="A3:A4"/>
    <mergeCell ref="B3:B4"/>
    <mergeCell ref="C3:J3"/>
    <mergeCell ref="G16:H16"/>
    <mergeCell ref="G27:H27"/>
    <mergeCell ref="G31:H31"/>
    <mergeCell ref="F115:H115"/>
    <mergeCell ref="F116:H116"/>
    <mergeCell ref="G136:H136"/>
    <mergeCell ref="G75:H75"/>
    <mergeCell ref="G120:H120"/>
    <mergeCell ref="G105:H105"/>
    <mergeCell ref="G108:H108"/>
    <mergeCell ref="G84:H84"/>
    <mergeCell ref="G132:H132"/>
    <mergeCell ref="G129:H129"/>
    <mergeCell ref="G87:H87"/>
    <mergeCell ref="G90:H90"/>
    <mergeCell ref="G94:H94"/>
    <mergeCell ref="G97:H97"/>
    <mergeCell ref="G102:H102"/>
    <mergeCell ref="F111:H111"/>
    <mergeCell ref="G78:H78"/>
    <mergeCell ref="G126:H126"/>
  </mergeCells>
  <pageMargins left="0.43307086614173229" right="0.31496062992125984" top="0.74803149606299213" bottom="0.15748031496062992" header="0.31496062992125984" footer="0.31496062992125984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21"/>
  <sheetViews>
    <sheetView view="pageBreakPreview" topLeftCell="A25" zoomScale="90" zoomScaleNormal="100" zoomScaleSheetLayoutView="90" workbookViewId="0">
      <selection activeCell="L28" sqref="L28"/>
    </sheetView>
  </sheetViews>
  <sheetFormatPr defaultRowHeight="14.4" x14ac:dyDescent="0.3"/>
  <cols>
    <col min="7" max="7" width="10.6640625" customWidth="1"/>
    <col min="9" max="9" width="10.5546875" bestFit="1" customWidth="1"/>
  </cols>
  <sheetData>
    <row r="1" spans="1:10" ht="15" thickBot="1" x14ac:dyDescent="0.35">
      <c r="A1" s="488" t="s">
        <v>513</v>
      </c>
    </row>
    <row r="2" spans="1:10" x14ac:dyDescent="0.3">
      <c r="A2" s="880" t="s">
        <v>380</v>
      </c>
      <c r="B2" s="882" t="s">
        <v>381</v>
      </c>
      <c r="C2" s="489" t="s">
        <v>382</v>
      </c>
      <c r="D2" s="490" t="s">
        <v>383</v>
      </c>
      <c r="E2" s="489" t="s">
        <v>384</v>
      </c>
      <c r="F2" s="884" t="s">
        <v>385</v>
      </c>
      <c r="G2" s="885"/>
      <c r="H2" s="885"/>
      <c r="I2" s="885"/>
      <c r="J2" s="886"/>
    </row>
    <row r="3" spans="1:10" ht="15" thickBot="1" x14ac:dyDescent="0.35">
      <c r="A3" s="881"/>
      <c r="B3" s="883"/>
      <c r="C3" s="491" t="s">
        <v>386</v>
      </c>
      <c r="D3" s="492" t="s">
        <v>387</v>
      </c>
      <c r="E3" s="491" t="s">
        <v>388</v>
      </c>
      <c r="F3" s="493">
        <v>10</v>
      </c>
      <c r="G3" s="494">
        <v>12</v>
      </c>
      <c r="H3" s="494">
        <v>14</v>
      </c>
      <c r="I3" s="494">
        <v>16</v>
      </c>
      <c r="J3" s="495">
        <v>22</v>
      </c>
    </row>
    <row r="4" spans="1:10" x14ac:dyDescent="0.3">
      <c r="A4" s="876" t="s">
        <v>389</v>
      </c>
      <c r="B4" s="604">
        <v>1</v>
      </c>
      <c r="C4" s="605">
        <v>12</v>
      </c>
      <c r="D4" s="606">
        <f>4.9+0.075+0.075</f>
        <v>5.0500000000000007</v>
      </c>
      <c r="E4" s="607">
        <f>(((3.5/0.1)+1))*2</f>
        <v>72</v>
      </c>
      <c r="F4" s="608"/>
      <c r="G4" s="609">
        <f>(D4*E4)*4</f>
        <v>1454.4</v>
      </c>
      <c r="H4" s="609"/>
      <c r="I4" s="610"/>
      <c r="J4" s="611"/>
    </row>
    <row r="5" spans="1:10" x14ac:dyDescent="0.3">
      <c r="A5" s="877"/>
      <c r="B5" s="612">
        <f t="shared" ref="B5:B8" si="0">B4+1</f>
        <v>2</v>
      </c>
      <c r="C5" s="613">
        <v>12</v>
      </c>
      <c r="D5" s="614">
        <f>3.5+0.075+0.075</f>
        <v>3.6500000000000004</v>
      </c>
      <c r="E5" s="615">
        <f>(((4.9/0.1)+1))*2</f>
        <v>100</v>
      </c>
      <c r="F5" s="616"/>
      <c r="G5" s="617">
        <f>(D5*E5)*4</f>
        <v>1460.0000000000002</v>
      </c>
      <c r="H5" s="618"/>
      <c r="I5" s="612"/>
      <c r="J5" s="619"/>
    </row>
    <row r="6" spans="1:10" x14ac:dyDescent="0.3">
      <c r="A6" s="877"/>
      <c r="B6" s="504">
        <f t="shared" si="0"/>
        <v>3</v>
      </c>
      <c r="C6" s="505">
        <v>12</v>
      </c>
      <c r="D6" s="574">
        <f>2.25+0.075+0.075</f>
        <v>2.4000000000000004</v>
      </c>
      <c r="E6" s="601">
        <f>((1.05/0.1)+1)*2</f>
        <v>23</v>
      </c>
      <c r="F6" s="602"/>
      <c r="G6" s="603">
        <f t="shared" ref="G6:G13" si="1">D6*E6</f>
        <v>55.20000000000001</v>
      </c>
      <c r="H6" s="504"/>
      <c r="I6" s="504"/>
      <c r="J6" s="507"/>
    </row>
    <row r="7" spans="1:10" x14ac:dyDescent="0.3">
      <c r="A7" s="877"/>
      <c r="B7" s="504">
        <f t="shared" si="0"/>
        <v>4</v>
      </c>
      <c r="C7" s="505">
        <v>12</v>
      </c>
      <c r="D7" s="574">
        <f>1.05+0.075+0.075</f>
        <v>1.2</v>
      </c>
      <c r="E7" s="601">
        <f>((2.25/0.1)+1)*2</f>
        <v>47</v>
      </c>
      <c r="F7" s="602"/>
      <c r="G7" s="603">
        <f t="shared" si="1"/>
        <v>56.4</v>
      </c>
      <c r="H7" s="504"/>
      <c r="I7" s="504"/>
      <c r="J7" s="507"/>
    </row>
    <row r="8" spans="1:10" x14ac:dyDescent="0.3">
      <c r="A8" s="877"/>
      <c r="B8" s="508">
        <f t="shared" si="0"/>
        <v>5</v>
      </c>
      <c r="C8" s="509">
        <v>12</v>
      </c>
      <c r="D8" s="572">
        <f>2.65+0.075+0.075</f>
        <v>2.8000000000000003</v>
      </c>
      <c r="E8" s="510">
        <f>((3.3/0.1)+1)*2</f>
        <v>67.999999999999986</v>
      </c>
      <c r="F8" s="500"/>
      <c r="G8" s="573">
        <f t="shared" si="1"/>
        <v>190.39999999999998</v>
      </c>
      <c r="H8" s="508"/>
      <c r="I8" s="508"/>
      <c r="J8" s="511"/>
    </row>
    <row r="9" spans="1:10" x14ac:dyDescent="0.3">
      <c r="A9" s="877"/>
      <c r="B9" s="596">
        <v>6</v>
      </c>
      <c r="C9" s="597">
        <v>12</v>
      </c>
      <c r="D9" s="596">
        <f>3.3+0.075+0.075</f>
        <v>3.45</v>
      </c>
      <c r="E9" s="598">
        <f>((2.65/0.1)+1)*2</f>
        <v>54.999999999999993</v>
      </c>
      <c r="F9" s="537"/>
      <c r="G9" s="599">
        <f t="shared" si="1"/>
        <v>189.74999999999997</v>
      </c>
      <c r="H9" s="596"/>
      <c r="I9" s="596"/>
      <c r="J9" s="600"/>
    </row>
    <row r="10" spans="1:10" x14ac:dyDescent="0.3">
      <c r="A10" s="877"/>
      <c r="B10" s="590">
        <v>7</v>
      </c>
      <c r="C10" s="591">
        <v>12</v>
      </c>
      <c r="D10" s="590">
        <f>4.9+0.075+0.075</f>
        <v>5.0500000000000007</v>
      </c>
      <c r="E10" s="592">
        <f>((2.1/0.1)+1)*2</f>
        <v>44</v>
      </c>
      <c r="F10" s="593"/>
      <c r="G10" s="594">
        <f t="shared" si="1"/>
        <v>222.20000000000005</v>
      </c>
      <c r="H10" s="590"/>
      <c r="I10" s="590"/>
      <c r="J10" s="595"/>
    </row>
    <row r="11" spans="1:10" x14ac:dyDescent="0.3">
      <c r="A11" s="877"/>
      <c r="B11" s="590">
        <v>8</v>
      </c>
      <c r="C11" s="591">
        <v>12</v>
      </c>
      <c r="D11" s="590">
        <f>2.1+0.075+0.075</f>
        <v>2.2500000000000004</v>
      </c>
      <c r="E11" s="592">
        <f>((4.9/0.1)+1)*2</f>
        <v>100</v>
      </c>
      <c r="F11" s="593"/>
      <c r="G11" s="594">
        <f t="shared" si="1"/>
        <v>225.00000000000006</v>
      </c>
      <c r="H11" s="590"/>
      <c r="I11" s="590"/>
      <c r="J11" s="595"/>
    </row>
    <row r="12" spans="1:10" x14ac:dyDescent="0.3">
      <c r="A12" s="877"/>
      <c r="B12" s="575">
        <v>9</v>
      </c>
      <c r="C12" s="576">
        <v>12</v>
      </c>
      <c r="D12" s="575">
        <f>0.83+0.075+0.075</f>
        <v>0.97999999999999987</v>
      </c>
      <c r="E12" s="577">
        <f>((1.2/0.1)+1)*2</f>
        <v>25.999999999999996</v>
      </c>
      <c r="F12" s="578"/>
      <c r="G12" s="582">
        <f t="shared" si="1"/>
        <v>25.479999999999993</v>
      </c>
      <c r="H12" s="575"/>
      <c r="I12" s="575"/>
      <c r="J12" s="579"/>
    </row>
    <row r="13" spans="1:10" ht="15" thickBot="1" x14ac:dyDescent="0.35">
      <c r="A13" s="877"/>
      <c r="B13" s="575">
        <v>10</v>
      </c>
      <c r="C13" s="576">
        <v>12</v>
      </c>
      <c r="D13" s="575">
        <f>1.2+0.075+0.075</f>
        <v>1.3499999999999999</v>
      </c>
      <c r="E13" s="577">
        <f>((0.83/0.1)+1)*2</f>
        <v>18.599999999999998</v>
      </c>
      <c r="F13" s="578"/>
      <c r="G13" s="582">
        <f t="shared" si="1"/>
        <v>25.109999999999996</v>
      </c>
      <c r="H13" s="575"/>
      <c r="I13" s="575"/>
      <c r="J13" s="579"/>
    </row>
    <row r="14" spans="1:10" x14ac:dyDescent="0.3">
      <c r="A14" s="522" t="s">
        <v>390</v>
      </c>
      <c r="B14" s="523"/>
      <c r="C14" s="523"/>
      <c r="D14" s="523"/>
      <c r="E14" s="524" t="s">
        <v>391</v>
      </c>
      <c r="F14" s="525">
        <f>SUM(F4:F13)</f>
        <v>0</v>
      </c>
      <c r="G14" s="525">
        <f>SUM(G4:G13)</f>
        <v>3903.9400000000005</v>
      </c>
      <c r="H14" s="525">
        <f>SUM(H4:H13)</f>
        <v>0</v>
      </c>
      <c r="I14" s="525">
        <f>SUM(I4:I13)</f>
        <v>0</v>
      </c>
      <c r="J14" s="526">
        <f>SUM(J4:J13)</f>
        <v>0</v>
      </c>
    </row>
    <row r="15" spans="1:10" x14ac:dyDescent="0.3">
      <c r="A15" s="527" t="s">
        <v>392</v>
      </c>
      <c r="B15" s="528"/>
      <c r="C15" s="528"/>
      <c r="D15" s="528"/>
      <c r="E15" s="529" t="s">
        <v>391</v>
      </c>
      <c r="F15" s="530">
        <f>0.617*F3^2/100</f>
        <v>0.61699999999999999</v>
      </c>
      <c r="G15" s="530">
        <f>0.617*G3^2/100</f>
        <v>0.88847999999999994</v>
      </c>
      <c r="H15" s="530">
        <f>0.617*H3^2/100</f>
        <v>1.20932</v>
      </c>
      <c r="I15" s="530">
        <f>0.617*I3^2/100</f>
        <v>1.57952</v>
      </c>
      <c r="J15" s="531">
        <f>0.617*J3^2/100</f>
        <v>2.9862799999999998</v>
      </c>
    </row>
    <row r="16" spans="1:10" x14ac:dyDescent="0.3">
      <c r="A16" s="527" t="s">
        <v>393</v>
      </c>
      <c r="B16" s="528"/>
      <c r="C16" s="528"/>
      <c r="D16" s="528"/>
      <c r="E16" s="529" t="s">
        <v>391</v>
      </c>
      <c r="F16" s="530">
        <f>F14*F15</f>
        <v>0</v>
      </c>
      <c r="G16" s="530">
        <f t="shared" ref="G16:J16" si="2">G14*G15</f>
        <v>3468.5726112000002</v>
      </c>
      <c r="H16" s="530">
        <f t="shared" si="2"/>
        <v>0</v>
      </c>
      <c r="I16" s="530">
        <f t="shared" si="2"/>
        <v>0</v>
      </c>
      <c r="J16" s="531">
        <f t="shared" si="2"/>
        <v>0</v>
      </c>
    </row>
    <row r="17" spans="1:10" ht="15" thickBot="1" x14ac:dyDescent="0.35">
      <c r="A17" s="532" t="s">
        <v>394</v>
      </c>
      <c r="B17" s="533"/>
      <c r="C17" s="533"/>
      <c r="D17" s="533"/>
      <c r="E17" s="534" t="s">
        <v>391</v>
      </c>
      <c r="F17" s="879">
        <f>SUM(F16:J16)</f>
        <v>3468.5726112000002</v>
      </c>
      <c r="G17" s="879"/>
      <c r="H17" s="535" t="s">
        <v>213</v>
      </c>
      <c r="I17" s="535"/>
      <c r="J17" s="536"/>
    </row>
    <row r="19" spans="1:10" ht="15" thickBot="1" x14ac:dyDescent="0.35">
      <c r="A19" s="488" t="s">
        <v>514</v>
      </c>
    </row>
    <row r="20" spans="1:10" x14ac:dyDescent="0.3">
      <c r="A20" s="880" t="s">
        <v>380</v>
      </c>
      <c r="B20" s="882" t="s">
        <v>381</v>
      </c>
      <c r="C20" s="489" t="s">
        <v>382</v>
      </c>
      <c r="D20" s="490" t="s">
        <v>383</v>
      </c>
      <c r="E20" s="489" t="s">
        <v>384</v>
      </c>
      <c r="F20" s="884" t="s">
        <v>385</v>
      </c>
      <c r="G20" s="885"/>
      <c r="H20" s="885"/>
      <c r="I20" s="885"/>
      <c r="J20" s="886"/>
    </row>
    <row r="21" spans="1:10" ht="15" thickBot="1" x14ac:dyDescent="0.35">
      <c r="A21" s="881"/>
      <c r="B21" s="883"/>
      <c r="C21" s="491" t="s">
        <v>386</v>
      </c>
      <c r="D21" s="492" t="s">
        <v>387</v>
      </c>
      <c r="E21" s="491" t="s">
        <v>388</v>
      </c>
      <c r="F21" s="493">
        <v>10</v>
      </c>
      <c r="G21" s="494">
        <v>12</v>
      </c>
      <c r="H21" s="494">
        <v>14</v>
      </c>
      <c r="I21" s="494">
        <v>16</v>
      </c>
      <c r="J21" s="495">
        <v>22</v>
      </c>
    </row>
    <row r="22" spans="1:10" x14ac:dyDescent="0.3">
      <c r="A22" s="876" t="s">
        <v>573</v>
      </c>
      <c r="B22" s="496">
        <v>1</v>
      </c>
      <c r="C22" s="497">
        <v>12</v>
      </c>
      <c r="D22" s="498" t="e">
        <f>BackUp_Data!#REF!+BackUp_Data!#REF!+BackUp_Data!#REF!+0.075+0.075</f>
        <v>#REF!</v>
      </c>
      <c r="E22" s="499">
        <f>(1.15/0.1)+1</f>
        <v>12.499999999999998</v>
      </c>
      <c r="F22" s="537"/>
      <c r="G22" s="501" t="e">
        <f>(D22*E22)*2</f>
        <v>#REF!</v>
      </c>
      <c r="H22" s="501"/>
      <c r="I22" s="502"/>
      <c r="J22" s="503"/>
    </row>
    <row r="23" spans="1:10" x14ac:dyDescent="0.3">
      <c r="A23" s="877"/>
      <c r="B23" s="504">
        <f t="shared" ref="B23:B26" si="3">B22+1</f>
        <v>2</v>
      </c>
      <c r="C23" s="505">
        <v>10</v>
      </c>
      <c r="D23" s="506">
        <f>1.15+1.15+0.1+0.1+0.075+0.075</f>
        <v>2.6500000000000004</v>
      </c>
      <c r="E23" s="538" t="e">
        <f>(D22/0.1)+1</f>
        <v>#REF!</v>
      </c>
      <c r="F23" s="500" t="e">
        <f>(D23*E23)*2</f>
        <v>#REF!</v>
      </c>
      <c r="G23" s="504"/>
      <c r="H23" s="539"/>
      <c r="I23" s="504"/>
      <c r="J23" s="507"/>
    </row>
    <row r="24" spans="1:10" x14ac:dyDescent="0.3">
      <c r="A24" s="877"/>
      <c r="B24" s="508">
        <f t="shared" si="3"/>
        <v>3</v>
      </c>
      <c r="C24" s="509"/>
      <c r="D24" s="508"/>
      <c r="E24" s="510"/>
      <c r="F24" s="500"/>
      <c r="G24" s="508"/>
      <c r="H24" s="508"/>
      <c r="I24" s="508"/>
      <c r="J24" s="511"/>
    </row>
    <row r="25" spans="1:10" x14ac:dyDescent="0.3">
      <c r="A25" s="877"/>
      <c r="B25" s="512">
        <f t="shared" si="3"/>
        <v>4</v>
      </c>
      <c r="C25" s="513"/>
      <c r="D25" s="512"/>
      <c r="E25" s="514"/>
      <c r="F25" s="515"/>
      <c r="G25" s="512"/>
      <c r="H25" s="512"/>
      <c r="I25" s="512"/>
      <c r="J25" s="516"/>
    </row>
    <row r="26" spans="1:10" x14ac:dyDescent="0.3">
      <c r="A26" s="877"/>
      <c r="B26" s="517">
        <f t="shared" si="3"/>
        <v>5</v>
      </c>
      <c r="C26" s="518"/>
      <c r="D26" s="517"/>
      <c r="E26" s="519"/>
      <c r="F26" s="520"/>
      <c r="G26" s="517"/>
      <c r="H26" s="517"/>
      <c r="I26" s="517"/>
      <c r="J26" s="521"/>
    </row>
    <row r="27" spans="1:10" ht="15" thickBot="1" x14ac:dyDescent="0.35">
      <c r="A27" s="878"/>
      <c r="B27" s="493"/>
      <c r="C27" s="540"/>
      <c r="D27" s="493"/>
      <c r="E27" s="540"/>
      <c r="F27" s="541"/>
      <c r="G27" s="493"/>
      <c r="H27" s="493"/>
      <c r="I27" s="493"/>
      <c r="J27" s="542"/>
    </row>
    <row r="28" spans="1:10" x14ac:dyDescent="0.3">
      <c r="A28" s="522" t="s">
        <v>390</v>
      </c>
      <c r="B28" s="523"/>
      <c r="C28" s="523"/>
      <c r="D28" s="523"/>
      <c r="E28" s="524" t="s">
        <v>391</v>
      </c>
      <c r="F28" s="525" t="e">
        <f>SUM(F22:F27)</f>
        <v>#REF!</v>
      </c>
      <c r="G28" s="525" t="e">
        <f>SUM(G22:G27)</f>
        <v>#REF!</v>
      </c>
      <c r="H28" s="525">
        <f>SUM(H22:H27)</f>
        <v>0</v>
      </c>
      <c r="I28" s="525">
        <f>SUM(I22:I27)</f>
        <v>0</v>
      </c>
      <c r="J28" s="526">
        <f>SUM(J22:J27)</f>
        <v>0</v>
      </c>
    </row>
    <row r="29" spans="1:10" x14ac:dyDescent="0.3">
      <c r="A29" s="527" t="s">
        <v>392</v>
      </c>
      <c r="B29" s="528"/>
      <c r="C29" s="528"/>
      <c r="D29" s="528"/>
      <c r="E29" s="529" t="s">
        <v>391</v>
      </c>
      <c r="F29" s="530">
        <f>0.617*F21^2/100</f>
        <v>0.61699999999999999</v>
      </c>
      <c r="G29" s="530">
        <f>0.617*G21^2/100</f>
        <v>0.88847999999999994</v>
      </c>
      <c r="H29" s="530">
        <f>0.617*H21^2/100</f>
        <v>1.20932</v>
      </c>
      <c r="I29" s="530">
        <f>0.617*I21^2/100</f>
        <v>1.57952</v>
      </c>
      <c r="J29" s="531">
        <f>0.617*J21^2/100</f>
        <v>2.9862799999999998</v>
      </c>
    </row>
    <row r="30" spans="1:10" x14ac:dyDescent="0.3">
      <c r="A30" s="527" t="s">
        <v>393</v>
      </c>
      <c r="B30" s="528"/>
      <c r="C30" s="528"/>
      <c r="D30" s="528"/>
      <c r="E30" s="529" t="s">
        <v>391</v>
      </c>
      <c r="F30" s="530" t="e">
        <f>F28*F29</f>
        <v>#REF!</v>
      </c>
      <c r="G30" s="530" t="e">
        <f t="shared" ref="G30:J30" si="4">G28*G29</f>
        <v>#REF!</v>
      </c>
      <c r="H30" s="530">
        <f t="shared" si="4"/>
        <v>0</v>
      </c>
      <c r="I30" s="530">
        <f t="shared" si="4"/>
        <v>0</v>
      </c>
      <c r="J30" s="531">
        <f t="shared" si="4"/>
        <v>0</v>
      </c>
    </row>
    <row r="31" spans="1:10" ht="15" thickBot="1" x14ac:dyDescent="0.35">
      <c r="A31" s="532" t="s">
        <v>394</v>
      </c>
      <c r="B31" s="533"/>
      <c r="C31" s="533"/>
      <c r="D31" s="533"/>
      <c r="E31" s="534" t="s">
        <v>391</v>
      </c>
      <c r="F31" s="879" t="e">
        <f>SUM(F30:J30)</f>
        <v>#REF!</v>
      </c>
      <c r="G31" s="879"/>
      <c r="H31" s="535" t="s">
        <v>213</v>
      </c>
      <c r="I31" s="535"/>
      <c r="J31" s="536"/>
    </row>
    <row r="33" spans="1:10" ht="15" thickBot="1" x14ac:dyDescent="0.35">
      <c r="A33" s="488" t="s">
        <v>516</v>
      </c>
    </row>
    <row r="34" spans="1:10" x14ac:dyDescent="0.3">
      <c r="A34" s="880" t="s">
        <v>380</v>
      </c>
      <c r="B34" s="882" t="s">
        <v>381</v>
      </c>
      <c r="C34" s="489" t="s">
        <v>382</v>
      </c>
      <c r="D34" s="490" t="s">
        <v>383</v>
      </c>
      <c r="E34" s="489" t="s">
        <v>384</v>
      </c>
      <c r="F34" s="884" t="s">
        <v>385</v>
      </c>
      <c r="G34" s="885"/>
      <c r="H34" s="885"/>
      <c r="I34" s="885"/>
      <c r="J34" s="886"/>
    </row>
    <row r="35" spans="1:10" ht="15" thickBot="1" x14ac:dyDescent="0.35">
      <c r="A35" s="881"/>
      <c r="B35" s="883"/>
      <c r="C35" s="491" t="s">
        <v>386</v>
      </c>
      <c r="D35" s="492" t="s">
        <v>387</v>
      </c>
      <c r="E35" s="491" t="s">
        <v>388</v>
      </c>
      <c r="F35" s="493">
        <v>8</v>
      </c>
      <c r="G35" s="494">
        <v>10</v>
      </c>
      <c r="H35" s="494">
        <v>12</v>
      </c>
      <c r="I35" s="494">
        <v>14</v>
      </c>
      <c r="J35" s="495">
        <v>16</v>
      </c>
    </row>
    <row r="36" spans="1:10" x14ac:dyDescent="0.3">
      <c r="A36" s="876" t="s">
        <v>521</v>
      </c>
      <c r="B36" s="604" t="s">
        <v>515</v>
      </c>
      <c r="C36" s="605">
        <v>14</v>
      </c>
      <c r="D36" s="606">
        <f>4.8+0.075+0.075</f>
        <v>4.95</v>
      </c>
      <c r="E36" s="607">
        <f>7+4</f>
        <v>11</v>
      </c>
      <c r="F36" s="608"/>
      <c r="G36" s="609"/>
      <c r="H36" s="609"/>
      <c r="I36" s="610">
        <f>(D36*E36)*4</f>
        <v>217.8</v>
      </c>
      <c r="J36" s="611"/>
    </row>
    <row r="37" spans="1:10" x14ac:dyDescent="0.3">
      <c r="A37" s="877"/>
      <c r="B37" s="612"/>
      <c r="C37" s="613">
        <v>12</v>
      </c>
      <c r="D37" s="617">
        <f>4.8+0.075+0.075</f>
        <v>4.95</v>
      </c>
      <c r="E37" s="615">
        <v>2</v>
      </c>
      <c r="F37" s="616"/>
      <c r="G37" s="618"/>
      <c r="H37" s="618">
        <f>(D37*E37)*4</f>
        <v>39.6</v>
      </c>
      <c r="I37" s="620"/>
      <c r="J37" s="621"/>
    </row>
    <row r="38" spans="1:10" x14ac:dyDescent="0.3">
      <c r="A38" s="877"/>
      <c r="B38" s="612"/>
      <c r="C38" s="613">
        <v>8</v>
      </c>
      <c r="D38" s="614">
        <f>0.55+0.55+0.15+0.15+0.05+0.05</f>
        <v>1.5</v>
      </c>
      <c r="E38" s="615">
        <f>(4.58/((0.125+0.15)/2))+1</f>
        <v>34.309090909090905</v>
      </c>
      <c r="F38" s="616">
        <f>(D38*E38)*4</f>
        <v>205.85454545454542</v>
      </c>
      <c r="G38" s="612"/>
      <c r="H38" s="618"/>
      <c r="I38" s="612"/>
      <c r="J38" s="619"/>
    </row>
    <row r="39" spans="1:10" x14ac:dyDescent="0.3">
      <c r="A39" s="877"/>
      <c r="B39" s="504" t="s">
        <v>517</v>
      </c>
      <c r="C39" s="505">
        <v>14</v>
      </c>
      <c r="D39" s="504">
        <f>5+0.075+0.075</f>
        <v>5.15</v>
      </c>
      <c r="E39" s="601">
        <f>5+3</f>
        <v>8</v>
      </c>
      <c r="F39" s="602"/>
      <c r="G39" s="504"/>
      <c r="H39" s="504"/>
      <c r="I39" s="603">
        <f>D39*E39</f>
        <v>41.2</v>
      </c>
      <c r="J39" s="507"/>
    </row>
    <row r="40" spans="1:10" x14ac:dyDescent="0.3">
      <c r="A40" s="877"/>
      <c r="B40" s="504"/>
      <c r="C40" s="505">
        <v>12</v>
      </c>
      <c r="D40" s="504">
        <f>5+0.075+0.075</f>
        <v>5.15</v>
      </c>
      <c r="E40" s="601">
        <v>2</v>
      </c>
      <c r="F40" s="602"/>
      <c r="G40" s="504"/>
      <c r="H40" s="603">
        <f>D40*E40</f>
        <v>10.3</v>
      </c>
      <c r="I40" s="603"/>
      <c r="J40" s="507"/>
    </row>
    <row r="41" spans="1:10" x14ac:dyDescent="0.3">
      <c r="A41" s="877"/>
      <c r="B41" s="504"/>
      <c r="C41" s="505">
        <v>8</v>
      </c>
      <c r="D41" s="574">
        <f>0.35+0.35+0.15+0.15+0.05+0.05</f>
        <v>1.1000000000000001</v>
      </c>
      <c r="E41" s="601">
        <f>(4.65/((0.125+0.15)/2))+1</f>
        <v>34.81818181818182</v>
      </c>
      <c r="F41" s="602">
        <f>D41*E41</f>
        <v>38.300000000000004</v>
      </c>
      <c r="G41" s="504"/>
      <c r="H41" s="504"/>
      <c r="I41" s="504"/>
      <c r="J41" s="507"/>
    </row>
    <row r="42" spans="1:10" x14ac:dyDescent="0.3">
      <c r="A42" s="877"/>
      <c r="B42" s="622"/>
      <c r="C42" s="623">
        <v>14</v>
      </c>
      <c r="D42" s="622">
        <f>3.2+0.075+0.075</f>
        <v>3.3500000000000005</v>
      </c>
      <c r="E42" s="624">
        <f>5+3</f>
        <v>8</v>
      </c>
      <c r="F42" s="625"/>
      <c r="G42" s="622"/>
      <c r="H42" s="622"/>
      <c r="I42" s="626">
        <f>(D42*E42)*3</f>
        <v>80.400000000000006</v>
      </c>
      <c r="J42" s="627"/>
    </row>
    <row r="43" spans="1:10" x14ac:dyDescent="0.3">
      <c r="A43" s="877"/>
      <c r="B43" s="622"/>
      <c r="C43" s="623">
        <v>12</v>
      </c>
      <c r="D43" s="622">
        <f>3.2+0.075+0.075</f>
        <v>3.3500000000000005</v>
      </c>
      <c r="E43" s="624">
        <v>2</v>
      </c>
      <c r="F43" s="625"/>
      <c r="G43" s="622"/>
      <c r="H43" s="626">
        <f>(D43*E43)*3</f>
        <v>20.100000000000001</v>
      </c>
      <c r="I43" s="626"/>
      <c r="J43" s="627"/>
    </row>
    <row r="44" spans="1:10" x14ac:dyDescent="0.3">
      <c r="A44" s="877"/>
      <c r="B44" s="622"/>
      <c r="C44" s="623">
        <v>8</v>
      </c>
      <c r="D44" s="628">
        <f>0.35+0.35+0.15+0.15+0.05+0.05</f>
        <v>1.1000000000000001</v>
      </c>
      <c r="E44" s="624">
        <f>(3.02/((0.125+0.15)/2))+1</f>
        <v>22.963636363636361</v>
      </c>
      <c r="F44" s="625">
        <f>(D44*E44)*3</f>
        <v>75.78</v>
      </c>
      <c r="G44" s="622"/>
      <c r="H44" s="622"/>
      <c r="I44" s="622"/>
      <c r="J44" s="627"/>
    </row>
    <row r="45" spans="1:10" x14ac:dyDescent="0.3">
      <c r="A45" s="877"/>
      <c r="B45" s="583" t="s">
        <v>518</v>
      </c>
      <c r="C45" s="584">
        <v>14</v>
      </c>
      <c r="D45" s="583">
        <f>2.45+0.075+0.075</f>
        <v>2.6000000000000005</v>
      </c>
      <c r="E45" s="586">
        <f>3+2</f>
        <v>5</v>
      </c>
      <c r="F45" s="587"/>
      <c r="G45" s="583"/>
      <c r="H45" s="583"/>
      <c r="I45" s="588">
        <f>D45*E45</f>
        <v>13.000000000000004</v>
      </c>
      <c r="J45" s="589"/>
    </row>
    <row r="46" spans="1:10" x14ac:dyDescent="0.3">
      <c r="A46" s="877"/>
      <c r="B46" s="583"/>
      <c r="C46" s="584">
        <v>8</v>
      </c>
      <c r="D46" s="585">
        <f>0.25+0.25+0.15+0.15+0.05+0.05</f>
        <v>0.90000000000000013</v>
      </c>
      <c r="E46" s="586">
        <f>(2.1/((0.15+0.2)/2))+1</f>
        <v>13.000000000000002</v>
      </c>
      <c r="F46" s="587">
        <f>D46*E46</f>
        <v>11.700000000000003</v>
      </c>
      <c r="G46" s="583"/>
      <c r="H46" s="583"/>
      <c r="I46" s="583"/>
      <c r="J46" s="589"/>
    </row>
    <row r="47" spans="1:10" x14ac:dyDescent="0.3">
      <c r="A47" s="877"/>
      <c r="B47" s="622"/>
      <c r="C47" s="629">
        <v>14</v>
      </c>
      <c r="D47" s="630">
        <f>3.5+0.075+0.075</f>
        <v>3.6500000000000004</v>
      </c>
      <c r="E47" s="631">
        <f>3+2</f>
        <v>5</v>
      </c>
      <c r="F47" s="632"/>
      <c r="G47" s="630"/>
      <c r="H47" s="630"/>
      <c r="I47" s="633">
        <f>D47*E47</f>
        <v>18.25</v>
      </c>
      <c r="J47" s="634"/>
    </row>
    <row r="48" spans="1:10" x14ac:dyDescent="0.3">
      <c r="A48" s="877"/>
      <c r="B48" s="622"/>
      <c r="C48" s="629">
        <v>8</v>
      </c>
      <c r="D48" s="635">
        <f>0.25+0.25+0.15+0.15+0.05+0.05</f>
        <v>0.90000000000000013</v>
      </c>
      <c r="E48" s="631">
        <f>(3.15/((0.15+0.2)/2))+1</f>
        <v>19</v>
      </c>
      <c r="F48" s="632">
        <f>D48*E48</f>
        <v>17.100000000000001</v>
      </c>
      <c r="G48" s="630"/>
      <c r="H48" s="630"/>
      <c r="I48" s="630"/>
      <c r="J48" s="634"/>
    </row>
    <row r="49" spans="1:10" x14ac:dyDescent="0.3">
      <c r="A49" s="877"/>
      <c r="B49" s="636"/>
      <c r="C49" s="637">
        <v>14</v>
      </c>
      <c r="D49" s="638">
        <f>1.6+0.075+0.075</f>
        <v>1.75</v>
      </c>
      <c r="E49" s="639">
        <f>3+2</f>
        <v>5</v>
      </c>
      <c r="F49" s="640"/>
      <c r="G49" s="638"/>
      <c r="H49" s="638"/>
      <c r="I49" s="641">
        <f>D49*E49</f>
        <v>8.75</v>
      </c>
      <c r="J49" s="642"/>
    </row>
    <row r="50" spans="1:10" ht="15" thickBot="1" x14ac:dyDescent="0.35">
      <c r="A50" s="877"/>
      <c r="B50" s="636"/>
      <c r="C50" s="637">
        <v>8</v>
      </c>
      <c r="D50" s="643">
        <f>0.25+0.25+0.15+0.15+0.05+0.05</f>
        <v>0.90000000000000013</v>
      </c>
      <c r="E50" s="639">
        <f>(1.2/((0.15+0.2)/2))+1</f>
        <v>7.8571428571428577</v>
      </c>
      <c r="F50" s="640">
        <f>D50*E50</f>
        <v>7.071428571428573</v>
      </c>
      <c r="G50" s="638"/>
      <c r="H50" s="638"/>
      <c r="I50" s="638"/>
      <c r="J50" s="642"/>
    </row>
    <row r="51" spans="1:10" x14ac:dyDescent="0.3">
      <c r="A51" s="877"/>
      <c r="B51" s="644" t="s">
        <v>519</v>
      </c>
      <c r="C51" s="645">
        <v>14</v>
      </c>
      <c r="D51" s="646">
        <f>4.8+0.075+0.075</f>
        <v>4.95</v>
      </c>
      <c r="E51" s="647">
        <f>5+3</f>
        <v>8</v>
      </c>
      <c r="F51" s="593"/>
      <c r="G51" s="648"/>
      <c r="H51" s="648"/>
      <c r="I51" s="649">
        <f>(D51*E51)*4</f>
        <v>158.4</v>
      </c>
      <c r="J51" s="650"/>
    </row>
    <row r="52" spans="1:10" x14ac:dyDescent="0.3">
      <c r="A52" s="877"/>
      <c r="B52" s="651"/>
      <c r="C52" s="652">
        <v>12</v>
      </c>
      <c r="D52" s="653">
        <f>4.8+0.075+0.075</f>
        <v>4.95</v>
      </c>
      <c r="E52" s="654">
        <v>2</v>
      </c>
      <c r="F52" s="655"/>
      <c r="G52" s="656"/>
      <c r="H52" s="656">
        <f>(D52*E52)*4</f>
        <v>39.6</v>
      </c>
      <c r="I52" s="657"/>
      <c r="J52" s="658"/>
    </row>
    <row r="53" spans="1:10" x14ac:dyDescent="0.3">
      <c r="A53" s="877"/>
      <c r="B53" s="651"/>
      <c r="C53" s="652">
        <v>8</v>
      </c>
      <c r="D53" s="659">
        <f>0.55+0.55+0.1+0.1+0.05+0.05</f>
        <v>1.4000000000000004</v>
      </c>
      <c r="E53" s="654">
        <f>(4.58/((0.125+0.15)/2))+1</f>
        <v>34.309090909090905</v>
      </c>
      <c r="F53" s="655">
        <f>(D53*E53)*4</f>
        <v>192.13090909090911</v>
      </c>
      <c r="G53" s="651"/>
      <c r="H53" s="656"/>
      <c r="I53" s="651"/>
      <c r="J53" s="660"/>
    </row>
    <row r="54" spans="1:10" x14ac:dyDescent="0.3">
      <c r="A54" s="877"/>
      <c r="B54" s="517" t="s">
        <v>520</v>
      </c>
      <c r="C54" s="518">
        <v>14</v>
      </c>
      <c r="D54" s="517">
        <f>3.2+0.075+0.075</f>
        <v>3.3500000000000005</v>
      </c>
      <c r="E54" s="661">
        <f>4+2</f>
        <v>6</v>
      </c>
      <c r="F54" s="520"/>
      <c r="G54" s="517"/>
      <c r="H54" s="517"/>
      <c r="I54" s="581">
        <f>(D54*E54)*6</f>
        <v>120.60000000000001</v>
      </c>
      <c r="J54" s="521"/>
    </row>
    <row r="55" spans="1:10" x14ac:dyDescent="0.3">
      <c r="A55" s="877"/>
      <c r="B55" s="517"/>
      <c r="C55" s="518">
        <v>12</v>
      </c>
      <c r="D55" s="517">
        <f>3.2+0.075+0.075</f>
        <v>3.3500000000000005</v>
      </c>
      <c r="E55" s="661">
        <v>2</v>
      </c>
      <c r="F55" s="520"/>
      <c r="G55" s="517"/>
      <c r="H55" s="581">
        <f>(D55*E55)*6</f>
        <v>40.200000000000003</v>
      </c>
      <c r="I55" s="581"/>
      <c r="J55" s="521"/>
    </row>
    <row r="56" spans="1:10" ht="15" thickBot="1" x14ac:dyDescent="0.35">
      <c r="A56" s="877"/>
      <c r="B56" s="517"/>
      <c r="C56" s="518">
        <v>8</v>
      </c>
      <c r="D56" s="580">
        <f>0.35+0.35+0.1+0.1+0.05+0.05</f>
        <v>1</v>
      </c>
      <c r="E56" s="661">
        <f>(3.02/((0.125+0.15)/2))+1</f>
        <v>22.963636363636361</v>
      </c>
      <c r="F56" s="520">
        <f>(D56*E56)*6</f>
        <v>137.78181818181815</v>
      </c>
      <c r="G56" s="517"/>
      <c r="H56" s="517"/>
      <c r="I56" s="517"/>
      <c r="J56" s="521"/>
    </row>
    <row r="57" spans="1:10" x14ac:dyDescent="0.3">
      <c r="A57" s="522" t="s">
        <v>390</v>
      </c>
      <c r="B57" s="523"/>
      <c r="C57" s="523"/>
      <c r="D57" s="523"/>
      <c r="E57" s="524" t="s">
        <v>391</v>
      </c>
      <c r="F57" s="525">
        <f>SUM(F36:F56)</f>
        <v>685.71870129870126</v>
      </c>
      <c r="G57" s="525">
        <f>SUM(G36:G56)</f>
        <v>0</v>
      </c>
      <c r="H57" s="525">
        <f>SUM(H36:H56)</f>
        <v>149.80000000000001</v>
      </c>
      <c r="I57" s="525">
        <f>SUM(I36:I56)</f>
        <v>658.4</v>
      </c>
      <c r="J57" s="526">
        <f>SUM(J36:J56)</f>
        <v>0</v>
      </c>
    </row>
    <row r="58" spans="1:10" x14ac:dyDescent="0.3">
      <c r="A58" s="527" t="s">
        <v>392</v>
      </c>
      <c r="B58" s="528"/>
      <c r="C58" s="528"/>
      <c r="D58" s="528"/>
      <c r="E58" s="529" t="s">
        <v>391</v>
      </c>
      <c r="F58" s="530">
        <f>0.617*F35^2/100</f>
        <v>0.39488000000000001</v>
      </c>
      <c r="G58" s="530">
        <f>0.617*G35^2/100</f>
        <v>0.61699999999999999</v>
      </c>
      <c r="H58" s="530">
        <f>0.617*H35^2/100</f>
        <v>0.88847999999999994</v>
      </c>
      <c r="I58" s="530">
        <f>0.617*I35^2/100</f>
        <v>1.20932</v>
      </c>
      <c r="J58" s="531">
        <f>0.617*J35^2/100</f>
        <v>1.57952</v>
      </c>
    </row>
    <row r="59" spans="1:10" x14ac:dyDescent="0.3">
      <c r="A59" s="527" t="s">
        <v>393</v>
      </c>
      <c r="B59" s="528"/>
      <c r="C59" s="528"/>
      <c r="D59" s="528"/>
      <c r="E59" s="529" t="s">
        <v>391</v>
      </c>
      <c r="F59" s="530">
        <f>F57*F58</f>
        <v>270.77660076883114</v>
      </c>
      <c r="G59" s="530">
        <f t="shared" ref="G59:J59" si="5">G57*G58</f>
        <v>0</v>
      </c>
      <c r="H59" s="530">
        <f t="shared" si="5"/>
        <v>133.09430399999999</v>
      </c>
      <c r="I59" s="530">
        <f t="shared" si="5"/>
        <v>796.21628799999996</v>
      </c>
      <c r="J59" s="531">
        <f t="shared" si="5"/>
        <v>0</v>
      </c>
    </row>
    <row r="60" spans="1:10" ht="15" thickBot="1" x14ac:dyDescent="0.35">
      <c r="A60" s="532" t="s">
        <v>394</v>
      </c>
      <c r="B60" s="533"/>
      <c r="C60" s="533"/>
      <c r="D60" s="533"/>
      <c r="E60" s="534" t="s">
        <v>391</v>
      </c>
      <c r="F60" s="879">
        <f>SUM(F59:J59)</f>
        <v>1200.0871927688311</v>
      </c>
      <c r="G60" s="879"/>
      <c r="H60" s="535" t="s">
        <v>213</v>
      </c>
      <c r="I60" s="535"/>
      <c r="J60" s="536"/>
    </row>
    <row r="62" spans="1:10" ht="15" thickBot="1" x14ac:dyDescent="0.35">
      <c r="A62" s="488" t="s">
        <v>522</v>
      </c>
    </row>
    <row r="63" spans="1:10" x14ac:dyDescent="0.3">
      <c r="A63" s="880" t="s">
        <v>380</v>
      </c>
      <c r="B63" s="882" t="s">
        <v>381</v>
      </c>
      <c r="C63" s="489" t="s">
        <v>382</v>
      </c>
      <c r="D63" s="490" t="s">
        <v>383</v>
      </c>
      <c r="E63" s="489" t="s">
        <v>384</v>
      </c>
      <c r="F63" s="884" t="s">
        <v>385</v>
      </c>
      <c r="G63" s="885"/>
      <c r="H63" s="885"/>
      <c r="I63" s="885"/>
      <c r="J63" s="886"/>
    </row>
    <row r="64" spans="1:10" ht="15" thickBot="1" x14ac:dyDescent="0.35">
      <c r="A64" s="881"/>
      <c r="B64" s="883"/>
      <c r="C64" s="491" t="s">
        <v>386</v>
      </c>
      <c r="D64" s="492" t="s">
        <v>387</v>
      </c>
      <c r="E64" s="491" t="s">
        <v>388</v>
      </c>
      <c r="F64" s="493">
        <v>8</v>
      </c>
      <c r="G64" s="494">
        <v>10</v>
      </c>
      <c r="H64" s="494">
        <v>12</v>
      </c>
      <c r="I64" s="494">
        <v>14</v>
      </c>
      <c r="J64" s="495">
        <v>16</v>
      </c>
    </row>
    <row r="65" spans="1:10" x14ac:dyDescent="0.3">
      <c r="A65" s="887" t="s">
        <v>523</v>
      </c>
      <c r="B65" s="604" t="s">
        <v>524</v>
      </c>
      <c r="C65" s="605">
        <v>14</v>
      </c>
      <c r="D65" s="606">
        <f>3.9+1</f>
        <v>4.9000000000000004</v>
      </c>
      <c r="E65" s="607">
        <v>8</v>
      </c>
      <c r="F65" s="608"/>
      <c r="G65" s="609"/>
      <c r="H65" s="609"/>
      <c r="I65" s="610">
        <f>(D65*E65)*3</f>
        <v>117.60000000000001</v>
      </c>
      <c r="J65" s="611"/>
    </row>
    <row r="66" spans="1:10" x14ac:dyDescent="0.3">
      <c r="A66" s="888"/>
      <c r="B66" s="612"/>
      <c r="C66" s="613">
        <v>8</v>
      </c>
      <c r="D66" s="614">
        <f>0.4+0.4+0.3+0.3+0.05+0.05</f>
        <v>1.5000000000000002</v>
      </c>
      <c r="E66" s="615">
        <f>(3.9/0.2)+1</f>
        <v>20.5</v>
      </c>
      <c r="F66" s="616">
        <f>(D66*E66)*3</f>
        <v>92.250000000000014</v>
      </c>
      <c r="G66" s="612"/>
      <c r="H66" s="618"/>
      <c r="I66" s="612"/>
      <c r="J66" s="619"/>
    </row>
    <row r="67" spans="1:10" x14ac:dyDescent="0.3">
      <c r="A67" s="888"/>
      <c r="B67" s="504" t="s">
        <v>525</v>
      </c>
      <c r="C67" s="505">
        <v>14</v>
      </c>
      <c r="D67" s="574">
        <f>3.9+1</f>
        <v>4.9000000000000004</v>
      </c>
      <c r="E67" s="601">
        <v>5</v>
      </c>
      <c r="F67" s="602"/>
      <c r="G67" s="504"/>
      <c r="H67" s="504"/>
      <c r="I67" s="603">
        <f>D67*E67</f>
        <v>24.5</v>
      </c>
      <c r="J67" s="507"/>
    </row>
    <row r="68" spans="1:10" x14ac:dyDescent="0.3">
      <c r="A68" s="888"/>
      <c r="B68" s="504"/>
      <c r="C68" s="505">
        <v>8</v>
      </c>
      <c r="D68" s="504">
        <f>0.3+0.13+0.13+0.05+0.05</f>
        <v>0.66000000000000014</v>
      </c>
      <c r="E68" s="601">
        <f>(3.9/0.2)+1</f>
        <v>20.5</v>
      </c>
      <c r="F68" s="602">
        <f>D68*E68</f>
        <v>13.530000000000003</v>
      </c>
      <c r="G68" s="504"/>
      <c r="H68" s="504"/>
      <c r="I68" s="504"/>
      <c r="J68" s="507"/>
    </row>
    <row r="69" spans="1:10" x14ac:dyDescent="0.3">
      <c r="A69" s="888"/>
      <c r="B69" s="583" t="s">
        <v>526</v>
      </c>
      <c r="C69" s="584">
        <v>14</v>
      </c>
      <c r="D69" s="585">
        <f>3.9+1</f>
        <v>4.9000000000000004</v>
      </c>
      <c r="E69" s="586">
        <v>6</v>
      </c>
      <c r="F69" s="587"/>
      <c r="G69" s="583"/>
      <c r="H69" s="583"/>
      <c r="I69" s="588">
        <f>(D69*E69)*6</f>
        <v>176.4</v>
      </c>
      <c r="J69" s="589"/>
    </row>
    <row r="70" spans="1:10" x14ac:dyDescent="0.3">
      <c r="A70" s="888"/>
      <c r="B70" s="662"/>
      <c r="C70" s="584">
        <v>8</v>
      </c>
      <c r="D70" s="585">
        <f>0.1+0.1+0.4+0.4+0.05+0.05</f>
        <v>1.1000000000000001</v>
      </c>
      <c r="E70" s="586">
        <f>(3.9/0.2)+1</f>
        <v>20.5</v>
      </c>
      <c r="F70" s="587">
        <f>(D70*E70)*6</f>
        <v>135.30000000000001</v>
      </c>
      <c r="G70" s="583"/>
      <c r="H70" s="583"/>
      <c r="I70" s="583"/>
      <c r="J70" s="589"/>
    </row>
    <row r="71" spans="1:10" x14ac:dyDescent="0.3">
      <c r="A71" s="888"/>
      <c r="B71" s="517" t="s">
        <v>527</v>
      </c>
      <c r="C71" s="518">
        <v>14</v>
      </c>
      <c r="D71" s="580">
        <f>3.9+1</f>
        <v>4.9000000000000004</v>
      </c>
      <c r="E71" s="519">
        <v>4</v>
      </c>
      <c r="F71" s="520"/>
      <c r="G71" s="517"/>
      <c r="H71" s="517"/>
      <c r="I71" s="581">
        <f>(D71*E71)*2</f>
        <v>39.200000000000003</v>
      </c>
      <c r="J71" s="521"/>
    </row>
    <row r="72" spans="1:10" ht="15" thickBot="1" x14ac:dyDescent="0.35">
      <c r="A72" s="888"/>
      <c r="B72" s="575"/>
      <c r="C72" s="518">
        <v>8</v>
      </c>
      <c r="D72" s="580">
        <f>0.18+0.18+0.1+0.1+0.05+0.05</f>
        <v>0.66</v>
      </c>
      <c r="E72" s="519">
        <f>(3.9/0.2)+1</f>
        <v>20.5</v>
      </c>
      <c r="F72" s="520">
        <f>(D72*E72)*2</f>
        <v>27.060000000000002</v>
      </c>
      <c r="G72" s="517"/>
      <c r="H72" s="517"/>
      <c r="I72" s="517"/>
      <c r="J72" s="521"/>
    </row>
    <row r="73" spans="1:10" x14ac:dyDescent="0.3">
      <c r="A73" s="522" t="s">
        <v>390</v>
      </c>
      <c r="B73" s="523"/>
      <c r="C73" s="523"/>
      <c r="D73" s="523"/>
      <c r="E73" s="524" t="s">
        <v>391</v>
      </c>
      <c r="F73" s="525">
        <f>SUM(F65:F72)</f>
        <v>268.14000000000004</v>
      </c>
      <c r="G73" s="525">
        <f>SUM(G65:G72)</f>
        <v>0</v>
      </c>
      <c r="H73" s="525">
        <f>SUM(H65:H72)</f>
        <v>0</v>
      </c>
      <c r="I73" s="525">
        <f>SUM(I65:I72)</f>
        <v>357.7</v>
      </c>
      <c r="J73" s="526">
        <f>SUM(J65:J72)</f>
        <v>0</v>
      </c>
    </row>
    <row r="74" spans="1:10" x14ac:dyDescent="0.3">
      <c r="A74" s="527" t="s">
        <v>392</v>
      </c>
      <c r="B74" s="528"/>
      <c r="C74" s="528"/>
      <c r="D74" s="528"/>
      <c r="E74" s="529" t="s">
        <v>391</v>
      </c>
      <c r="F74" s="530">
        <f>0.617*F64^2/100</f>
        <v>0.39488000000000001</v>
      </c>
      <c r="G74" s="530">
        <f>0.617*G64^2/100</f>
        <v>0.61699999999999999</v>
      </c>
      <c r="H74" s="530">
        <f>0.617*H64^2/100</f>
        <v>0.88847999999999994</v>
      </c>
      <c r="I74" s="530">
        <f>0.617*I64^2/100</f>
        <v>1.20932</v>
      </c>
      <c r="J74" s="531">
        <f>0.617*J64^2/100</f>
        <v>1.57952</v>
      </c>
    </row>
    <row r="75" spans="1:10" x14ac:dyDescent="0.3">
      <c r="A75" s="527" t="s">
        <v>393</v>
      </c>
      <c r="B75" s="528"/>
      <c r="C75" s="528"/>
      <c r="D75" s="528"/>
      <c r="E75" s="529" t="s">
        <v>391</v>
      </c>
      <c r="F75" s="530">
        <f>F73*F74</f>
        <v>105.88312320000001</v>
      </c>
      <c r="G75" s="530">
        <f t="shared" ref="G75:J75" si="6">G73*G74</f>
        <v>0</v>
      </c>
      <c r="H75" s="530">
        <f t="shared" si="6"/>
        <v>0</v>
      </c>
      <c r="I75" s="530">
        <f t="shared" si="6"/>
        <v>432.57376399999998</v>
      </c>
      <c r="J75" s="531">
        <f t="shared" si="6"/>
        <v>0</v>
      </c>
    </row>
    <row r="76" spans="1:10" ht="15" thickBot="1" x14ac:dyDescent="0.35">
      <c r="A76" s="532" t="s">
        <v>394</v>
      </c>
      <c r="B76" s="533"/>
      <c r="C76" s="533"/>
      <c r="D76" s="533"/>
      <c r="E76" s="534" t="s">
        <v>391</v>
      </c>
      <c r="F76" s="879">
        <f>SUM(F75:J75)</f>
        <v>538.45688719999998</v>
      </c>
      <c r="G76" s="879"/>
      <c r="H76" s="535" t="s">
        <v>213</v>
      </c>
      <c r="I76" s="535"/>
      <c r="J76" s="536"/>
    </row>
    <row r="81" spans="1:10" ht="15" thickBot="1" x14ac:dyDescent="0.35">
      <c r="A81" s="488" t="s">
        <v>447</v>
      </c>
    </row>
    <row r="82" spans="1:10" x14ac:dyDescent="0.3">
      <c r="A82" s="880" t="s">
        <v>380</v>
      </c>
      <c r="B82" s="882" t="s">
        <v>381</v>
      </c>
      <c r="C82" s="489" t="s">
        <v>382</v>
      </c>
      <c r="D82" s="490" t="s">
        <v>383</v>
      </c>
      <c r="E82" s="489" t="s">
        <v>384</v>
      </c>
      <c r="F82" s="884" t="s">
        <v>385</v>
      </c>
      <c r="G82" s="885"/>
      <c r="H82" s="885"/>
      <c r="I82" s="885"/>
      <c r="J82" s="886"/>
    </row>
    <row r="83" spans="1:10" ht="15" thickBot="1" x14ac:dyDescent="0.35">
      <c r="A83" s="881"/>
      <c r="B83" s="883"/>
      <c r="C83" s="491" t="s">
        <v>386</v>
      </c>
      <c r="D83" s="492" t="s">
        <v>387</v>
      </c>
      <c r="E83" s="491" t="s">
        <v>388</v>
      </c>
      <c r="F83" s="493">
        <v>8</v>
      </c>
      <c r="G83" s="494">
        <v>10</v>
      </c>
      <c r="H83" s="494">
        <v>12</v>
      </c>
      <c r="I83" s="494">
        <v>14</v>
      </c>
      <c r="J83" s="495">
        <v>16</v>
      </c>
    </row>
    <row r="84" spans="1:10" x14ac:dyDescent="0.3">
      <c r="A84" s="876" t="s">
        <v>448</v>
      </c>
      <c r="B84" s="496">
        <v>1</v>
      </c>
      <c r="C84" s="497">
        <v>14</v>
      </c>
      <c r="D84" s="498">
        <f>5.25+(3*4)+3.5</f>
        <v>20.75</v>
      </c>
      <c r="E84" s="499">
        <v>5</v>
      </c>
      <c r="F84" s="537"/>
      <c r="G84" s="501"/>
      <c r="H84" s="501"/>
      <c r="I84" s="502">
        <f>(D84*E84)</f>
        <v>103.75</v>
      </c>
      <c r="J84" s="503"/>
    </row>
    <row r="85" spans="1:10" x14ac:dyDescent="0.3">
      <c r="A85" s="877"/>
      <c r="B85" s="504">
        <f t="shared" ref="B85:B88" si="7">B84+1</f>
        <v>2</v>
      </c>
      <c r="C85" s="505">
        <v>8</v>
      </c>
      <c r="D85" s="506">
        <f>0.2+0.2+0.15+0.15+0.05+0.05</f>
        <v>0.80000000000000016</v>
      </c>
      <c r="E85" s="538">
        <f>(D84/0.2)+1</f>
        <v>104.75</v>
      </c>
      <c r="F85" s="500">
        <f>(D85*E85)</f>
        <v>83.800000000000011</v>
      </c>
      <c r="G85" s="504"/>
      <c r="H85" s="539"/>
      <c r="I85" s="504"/>
      <c r="J85" s="507"/>
    </row>
    <row r="86" spans="1:10" x14ac:dyDescent="0.3">
      <c r="A86" s="877"/>
      <c r="B86" s="508">
        <f t="shared" si="7"/>
        <v>3</v>
      </c>
      <c r="C86" s="509"/>
      <c r="D86" s="508"/>
      <c r="E86" s="510"/>
      <c r="F86" s="500"/>
      <c r="G86" s="508"/>
      <c r="H86" s="508"/>
      <c r="I86" s="508"/>
      <c r="J86" s="511"/>
    </row>
    <row r="87" spans="1:10" x14ac:dyDescent="0.3">
      <c r="A87" s="877"/>
      <c r="B87" s="512">
        <f t="shared" si="7"/>
        <v>4</v>
      </c>
      <c r="C87" s="513"/>
      <c r="D87" s="512"/>
      <c r="E87" s="514"/>
      <c r="F87" s="515"/>
      <c r="G87" s="512"/>
      <c r="H87" s="512"/>
      <c r="I87" s="512"/>
      <c r="J87" s="516"/>
    </row>
    <row r="88" spans="1:10" x14ac:dyDescent="0.3">
      <c r="A88" s="877"/>
      <c r="B88" s="517">
        <f t="shared" si="7"/>
        <v>5</v>
      </c>
      <c r="C88" s="518"/>
      <c r="D88" s="517"/>
      <c r="E88" s="519"/>
      <c r="F88" s="520"/>
      <c r="G88" s="517"/>
      <c r="H88" s="517"/>
      <c r="I88" s="517"/>
      <c r="J88" s="521"/>
    </row>
    <row r="89" spans="1:10" ht="15" thickBot="1" x14ac:dyDescent="0.35">
      <c r="A89" s="878"/>
      <c r="B89" s="493"/>
      <c r="C89" s="540"/>
      <c r="D89" s="493"/>
      <c r="E89" s="540"/>
      <c r="F89" s="541"/>
      <c r="G89" s="493"/>
      <c r="H89" s="493"/>
      <c r="I89" s="493"/>
      <c r="J89" s="542"/>
    </row>
    <row r="90" spans="1:10" x14ac:dyDescent="0.3">
      <c r="A90" s="522" t="s">
        <v>390</v>
      </c>
      <c r="B90" s="523"/>
      <c r="C90" s="523"/>
      <c r="D90" s="523"/>
      <c r="E90" s="524" t="s">
        <v>391</v>
      </c>
      <c r="F90" s="525">
        <f>SUM(F84:F89)</f>
        <v>83.800000000000011</v>
      </c>
      <c r="G90" s="525">
        <f>SUM(G84:G89)</f>
        <v>0</v>
      </c>
      <c r="H90" s="525">
        <f>SUM(H84:H89)</f>
        <v>0</v>
      </c>
      <c r="I90" s="525">
        <f>SUM(I84:I89)</f>
        <v>103.75</v>
      </c>
      <c r="J90" s="526">
        <f>SUM(J84:J89)</f>
        <v>0</v>
      </c>
    </row>
    <row r="91" spans="1:10" x14ac:dyDescent="0.3">
      <c r="A91" s="527" t="s">
        <v>392</v>
      </c>
      <c r="B91" s="528"/>
      <c r="C91" s="528"/>
      <c r="D91" s="528"/>
      <c r="E91" s="529" t="s">
        <v>391</v>
      </c>
      <c r="F91" s="530">
        <f>0.617*F83^2/100</f>
        <v>0.39488000000000001</v>
      </c>
      <c r="G91" s="530">
        <f>0.617*G83^2/100</f>
        <v>0.61699999999999999</v>
      </c>
      <c r="H91" s="530">
        <f>0.617*H83^2/100</f>
        <v>0.88847999999999994</v>
      </c>
      <c r="I91" s="530">
        <f>0.617*I83^2/100</f>
        <v>1.20932</v>
      </c>
      <c r="J91" s="531">
        <f>0.617*J83^2/100</f>
        <v>1.57952</v>
      </c>
    </row>
    <row r="92" spans="1:10" x14ac:dyDescent="0.3">
      <c r="A92" s="527" t="s">
        <v>393</v>
      </c>
      <c r="B92" s="528"/>
      <c r="C92" s="528"/>
      <c r="D92" s="528"/>
      <c r="E92" s="529" t="s">
        <v>391</v>
      </c>
      <c r="F92" s="530">
        <f>F90*F91</f>
        <v>33.090944000000007</v>
      </c>
      <c r="G92" s="530">
        <f t="shared" ref="G92:J92" si="8">G90*G91</f>
        <v>0</v>
      </c>
      <c r="H92" s="530">
        <f t="shared" si="8"/>
        <v>0</v>
      </c>
      <c r="I92" s="530">
        <f t="shared" si="8"/>
        <v>125.46695</v>
      </c>
      <c r="J92" s="531">
        <f t="shared" si="8"/>
        <v>0</v>
      </c>
    </row>
    <row r="93" spans="1:10" ht="15" thickBot="1" x14ac:dyDescent="0.35">
      <c r="A93" s="532" t="s">
        <v>394</v>
      </c>
      <c r="B93" s="533"/>
      <c r="C93" s="533"/>
      <c r="D93" s="533"/>
      <c r="E93" s="534" t="s">
        <v>391</v>
      </c>
      <c r="F93" s="879">
        <f>SUM(F92:J92)</f>
        <v>158.557894</v>
      </c>
      <c r="G93" s="879"/>
      <c r="H93" s="535" t="s">
        <v>213</v>
      </c>
      <c r="I93" s="535"/>
      <c r="J93" s="536"/>
    </row>
    <row r="95" spans="1:10" ht="15" thickBot="1" x14ac:dyDescent="0.35">
      <c r="A95" s="488" t="s">
        <v>449</v>
      </c>
    </row>
    <row r="96" spans="1:10" x14ac:dyDescent="0.3">
      <c r="A96" s="880" t="s">
        <v>380</v>
      </c>
      <c r="B96" s="882" t="s">
        <v>381</v>
      </c>
      <c r="C96" s="489" t="s">
        <v>382</v>
      </c>
      <c r="D96" s="490" t="s">
        <v>383</v>
      </c>
      <c r="E96" s="489" t="s">
        <v>384</v>
      </c>
      <c r="F96" s="884" t="s">
        <v>385</v>
      </c>
      <c r="G96" s="885"/>
      <c r="H96" s="885"/>
      <c r="I96" s="885"/>
      <c r="J96" s="886"/>
    </row>
    <row r="97" spans="1:10" ht="15" thickBot="1" x14ac:dyDescent="0.35">
      <c r="A97" s="881"/>
      <c r="B97" s="883"/>
      <c r="C97" s="491" t="s">
        <v>386</v>
      </c>
      <c r="D97" s="492" t="s">
        <v>387</v>
      </c>
      <c r="E97" s="491" t="s">
        <v>388</v>
      </c>
      <c r="F97" s="493">
        <v>8</v>
      </c>
      <c r="G97" s="494">
        <v>10</v>
      </c>
      <c r="H97" s="494">
        <v>12</v>
      </c>
      <c r="I97" s="494">
        <v>14</v>
      </c>
      <c r="J97" s="495">
        <v>16</v>
      </c>
    </row>
    <row r="98" spans="1:10" x14ac:dyDescent="0.3">
      <c r="A98" s="887" t="s">
        <v>450</v>
      </c>
      <c r="B98" s="496">
        <v>1</v>
      </c>
      <c r="C98" s="497">
        <v>12</v>
      </c>
      <c r="D98" s="498">
        <f>3.53*4</f>
        <v>14.12</v>
      </c>
      <c r="E98" s="499">
        <v>7</v>
      </c>
      <c r="F98" s="537"/>
      <c r="G98" s="501"/>
      <c r="H98" s="501">
        <f>(D98*E98)</f>
        <v>98.839999999999989</v>
      </c>
      <c r="I98" s="502"/>
      <c r="J98" s="503"/>
    </row>
    <row r="99" spans="1:10" x14ac:dyDescent="0.3">
      <c r="A99" s="888"/>
      <c r="B99" s="504">
        <f t="shared" ref="B99:B102" si="9">B98+1</f>
        <v>2</v>
      </c>
      <c r="C99" s="505">
        <v>8</v>
      </c>
      <c r="D99" s="506">
        <f>0.05+0.05+0.05+0.05+0.05+0.05</f>
        <v>0.3</v>
      </c>
      <c r="E99" s="538">
        <f>((3.53*E98)/0.25)+1</f>
        <v>99.839999999999989</v>
      </c>
      <c r="F99" s="500">
        <f>(D99*E99)</f>
        <v>29.951999999999995</v>
      </c>
      <c r="G99" s="504"/>
      <c r="H99" s="539"/>
      <c r="I99" s="504"/>
      <c r="J99" s="507"/>
    </row>
    <row r="100" spans="1:10" x14ac:dyDescent="0.3">
      <c r="A100" s="888"/>
      <c r="B100" s="508">
        <f t="shared" si="9"/>
        <v>3</v>
      </c>
      <c r="C100" s="509"/>
      <c r="D100" s="508"/>
      <c r="E100" s="510"/>
      <c r="F100" s="500"/>
      <c r="G100" s="508"/>
      <c r="H100" s="508"/>
      <c r="I100" s="508"/>
      <c r="J100" s="511"/>
    </row>
    <row r="101" spans="1:10" x14ac:dyDescent="0.3">
      <c r="A101" s="888"/>
      <c r="B101" s="512">
        <f t="shared" si="9"/>
        <v>4</v>
      </c>
      <c r="C101" s="513"/>
      <c r="D101" s="512"/>
      <c r="E101" s="514"/>
      <c r="F101" s="515"/>
      <c r="G101" s="512"/>
      <c r="H101" s="512"/>
      <c r="I101" s="512"/>
      <c r="J101" s="516"/>
    </row>
    <row r="102" spans="1:10" x14ac:dyDescent="0.3">
      <c r="A102" s="888"/>
      <c r="B102" s="517">
        <f t="shared" si="9"/>
        <v>5</v>
      </c>
      <c r="C102" s="518"/>
      <c r="D102" s="517"/>
      <c r="E102" s="519"/>
      <c r="F102" s="520"/>
      <c r="G102" s="517"/>
      <c r="H102" s="517"/>
      <c r="I102" s="517"/>
      <c r="J102" s="521"/>
    </row>
    <row r="103" spans="1:10" ht="15" thickBot="1" x14ac:dyDescent="0.35">
      <c r="A103" s="889"/>
      <c r="B103" s="493"/>
      <c r="C103" s="540"/>
      <c r="D103" s="493"/>
      <c r="E103" s="540"/>
      <c r="F103" s="541"/>
      <c r="G103" s="493"/>
      <c r="H103" s="493"/>
      <c r="I103" s="493"/>
      <c r="J103" s="542"/>
    </row>
    <row r="104" spans="1:10" x14ac:dyDescent="0.3">
      <c r="A104" s="522" t="s">
        <v>390</v>
      </c>
      <c r="B104" s="523"/>
      <c r="C104" s="523"/>
      <c r="D104" s="523"/>
      <c r="E104" s="524" t="s">
        <v>391</v>
      </c>
      <c r="F104" s="525">
        <f>SUM(F98:F103)</f>
        <v>29.951999999999995</v>
      </c>
      <c r="G104" s="525">
        <f>SUM(G98:G103)</f>
        <v>0</v>
      </c>
      <c r="H104" s="525">
        <f>SUM(H98:H103)</f>
        <v>98.839999999999989</v>
      </c>
      <c r="I104" s="525">
        <f>SUM(I98:I103)</f>
        <v>0</v>
      </c>
      <c r="J104" s="526">
        <f>SUM(J98:J103)</f>
        <v>0</v>
      </c>
    </row>
    <row r="105" spans="1:10" x14ac:dyDescent="0.3">
      <c r="A105" s="527" t="s">
        <v>392</v>
      </c>
      <c r="B105" s="528"/>
      <c r="C105" s="528"/>
      <c r="D105" s="528"/>
      <c r="E105" s="529" t="s">
        <v>391</v>
      </c>
      <c r="F105" s="530">
        <f>0.617*F97^2/100</f>
        <v>0.39488000000000001</v>
      </c>
      <c r="G105" s="530">
        <f>0.617*G97^2/100</f>
        <v>0.61699999999999999</v>
      </c>
      <c r="H105" s="530">
        <f>0.617*H97^2/100</f>
        <v>0.88847999999999994</v>
      </c>
      <c r="I105" s="530">
        <f>0.617*I97^2/100</f>
        <v>1.20932</v>
      </c>
      <c r="J105" s="531">
        <f>0.617*J97^2/100</f>
        <v>1.57952</v>
      </c>
    </row>
    <row r="106" spans="1:10" x14ac:dyDescent="0.3">
      <c r="A106" s="527" t="s">
        <v>393</v>
      </c>
      <c r="B106" s="528"/>
      <c r="C106" s="528"/>
      <c r="D106" s="528"/>
      <c r="E106" s="529" t="s">
        <v>391</v>
      </c>
      <c r="F106" s="530">
        <f>F104*F105</f>
        <v>11.827445759999998</v>
      </c>
      <c r="G106" s="530">
        <f t="shared" ref="G106:J106" si="10">G104*G105</f>
        <v>0</v>
      </c>
      <c r="H106" s="530">
        <f t="shared" si="10"/>
        <v>87.817363199999988</v>
      </c>
      <c r="I106" s="530">
        <f t="shared" si="10"/>
        <v>0</v>
      </c>
      <c r="J106" s="531">
        <f t="shared" si="10"/>
        <v>0</v>
      </c>
    </row>
    <row r="107" spans="1:10" ht="15" thickBot="1" x14ac:dyDescent="0.35">
      <c r="A107" s="532" t="s">
        <v>394</v>
      </c>
      <c r="B107" s="533"/>
      <c r="C107" s="533"/>
      <c r="D107" s="533"/>
      <c r="E107" s="534" t="s">
        <v>391</v>
      </c>
      <c r="F107" s="879">
        <f>SUM(F106:J106)</f>
        <v>99.644808959999992</v>
      </c>
      <c r="G107" s="879"/>
      <c r="H107" s="535" t="s">
        <v>213</v>
      </c>
      <c r="I107" s="535"/>
      <c r="J107" s="536"/>
    </row>
    <row r="109" spans="1:10" ht="15" thickBot="1" x14ac:dyDescent="0.35">
      <c r="A109" s="488" t="s">
        <v>452</v>
      </c>
    </row>
    <row r="110" spans="1:10" x14ac:dyDescent="0.3">
      <c r="A110" s="880" t="s">
        <v>380</v>
      </c>
      <c r="B110" s="882" t="s">
        <v>381</v>
      </c>
      <c r="C110" s="489" t="s">
        <v>382</v>
      </c>
      <c r="D110" s="490" t="s">
        <v>383</v>
      </c>
      <c r="E110" s="489" t="s">
        <v>384</v>
      </c>
      <c r="F110" s="884" t="s">
        <v>385</v>
      </c>
      <c r="G110" s="885"/>
      <c r="H110" s="885"/>
      <c r="I110" s="885"/>
      <c r="J110" s="886"/>
    </row>
    <row r="111" spans="1:10" ht="15" thickBot="1" x14ac:dyDescent="0.35">
      <c r="A111" s="881"/>
      <c r="B111" s="883"/>
      <c r="C111" s="491" t="s">
        <v>386</v>
      </c>
      <c r="D111" s="492" t="s">
        <v>387</v>
      </c>
      <c r="E111" s="491" t="s">
        <v>388</v>
      </c>
      <c r="F111" s="493">
        <v>8</v>
      </c>
      <c r="G111" s="494">
        <v>10</v>
      </c>
      <c r="H111" s="494">
        <v>12</v>
      </c>
      <c r="I111" s="494">
        <v>14</v>
      </c>
      <c r="J111" s="495">
        <v>16</v>
      </c>
    </row>
    <row r="112" spans="1:10" x14ac:dyDescent="0.3">
      <c r="A112" s="876" t="s">
        <v>453</v>
      </c>
      <c r="B112" s="496">
        <v>1</v>
      </c>
      <c r="C112" s="497">
        <v>14</v>
      </c>
      <c r="D112" s="498">
        <f>5.25+(3*4)+3.5</f>
        <v>20.75</v>
      </c>
      <c r="E112" s="499">
        <v>4</v>
      </c>
      <c r="F112" s="537"/>
      <c r="G112" s="501"/>
      <c r="H112" s="501"/>
      <c r="I112" s="502">
        <f>(D112*E112)</f>
        <v>83</v>
      </c>
      <c r="J112" s="503"/>
    </row>
    <row r="113" spans="1:10" x14ac:dyDescent="0.3">
      <c r="A113" s="877"/>
      <c r="B113" s="504">
        <f t="shared" ref="B113:B116" si="11">B112+1</f>
        <v>2</v>
      </c>
      <c r="C113" s="505">
        <v>8</v>
      </c>
      <c r="D113" s="506">
        <f>0.1+0.1+0.05+0.05+0.05+0.05</f>
        <v>0.39999999999999997</v>
      </c>
      <c r="E113" s="538">
        <f>(D112/0.25)+1</f>
        <v>84</v>
      </c>
      <c r="F113" s="500">
        <f>(D113*E113)</f>
        <v>33.599999999999994</v>
      </c>
      <c r="G113" s="504"/>
      <c r="H113" s="539"/>
      <c r="I113" s="504"/>
      <c r="J113" s="507"/>
    </row>
    <row r="114" spans="1:10" x14ac:dyDescent="0.3">
      <c r="A114" s="877"/>
      <c r="B114" s="508">
        <f t="shared" si="11"/>
        <v>3</v>
      </c>
      <c r="C114" s="509"/>
      <c r="D114" s="508"/>
      <c r="E114" s="510"/>
      <c r="F114" s="500"/>
      <c r="G114" s="508"/>
      <c r="H114" s="508"/>
      <c r="I114" s="508"/>
      <c r="J114" s="511"/>
    </row>
    <row r="115" spans="1:10" x14ac:dyDescent="0.3">
      <c r="A115" s="877"/>
      <c r="B115" s="512">
        <f t="shared" si="11"/>
        <v>4</v>
      </c>
      <c r="C115" s="513"/>
      <c r="D115" s="512"/>
      <c r="E115" s="514"/>
      <c r="F115" s="515"/>
      <c r="G115" s="512"/>
      <c r="H115" s="512"/>
      <c r="I115" s="512"/>
      <c r="J115" s="516"/>
    </row>
    <row r="116" spans="1:10" x14ac:dyDescent="0.3">
      <c r="A116" s="877"/>
      <c r="B116" s="517">
        <f t="shared" si="11"/>
        <v>5</v>
      </c>
      <c r="C116" s="518"/>
      <c r="D116" s="517"/>
      <c r="E116" s="519"/>
      <c r="F116" s="520"/>
      <c r="G116" s="517"/>
      <c r="H116" s="517"/>
      <c r="I116" s="517"/>
      <c r="J116" s="521"/>
    </row>
    <row r="117" spans="1:10" ht="15" thickBot="1" x14ac:dyDescent="0.35">
      <c r="A117" s="878"/>
      <c r="B117" s="493"/>
      <c r="C117" s="540"/>
      <c r="D117" s="493"/>
      <c r="E117" s="540"/>
      <c r="F117" s="541"/>
      <c r="G117" s="493"/>
      <c r="H117" s="493"/>
      <c r="I117" s="493"/>
      <c r="J117" s="542"/>
    </row>
    <row r="118" spans="1:10" x14ac:dyDescent="0.3">
      <c r="A118" s="522" t="s">
        <v>390</v>
      </c>
      <c r="B118" s="523"/>
      <c r="C118" s="523"/>
      <c r="D118" s="523"/>
      <c r="E118" s="524" t="s">
        <v>391</v>
      </c>
      <c r="F118" s="525">
        <f>SUM(F112:F117)</f>
        <v>33.599999999999994</v>
      </c>
      <c r="G118" s="525">
        <f>SUM(G112:G117)</f>
        <v>0</v>
      </c>
      <c r="H118" s="525">
        <f>SUM(H112:H117)</f>
        <v>0</v>
      </c>
      <c r="I118" s="525">
        <f>SUM(I112:I117)</f>
        <v>83</v>
      </c>
      <c r="J118" s="526">
        <f>SUM(J112:J117)</f>
        <v>0</v>
      </c>
    </row>
    <row r="119" spans="1:10" x14ac:dyDescent="0.3">
      <c r="A119" s="527" t="s">
        <v>392</v>
      </c>
      <c r="B119" s="528"/>
      <c r="C119" s="528"/>
      <c r="D119" s="528"/>
      <c r="E119" s="529" t="s">
        <v>391</v>
      </c>
      <c r="F119" s="530">
        <f>0.617*F111^2/100</f>
        <v>0.39488000000000001</v>
      </c>
      <c r="G119" s="530">
        <f>0.617*G111^2/100</f>
        <v>0.61699999999999999</v>
      </c>
      <c r="H119" s="530">
        <f>0.617*H111^2/100</f>
        <v>0.88847999999999994</v>
      </c>
      <c r="I119" s="530">
        <f>0.617*I111^2/100</f>
        <v>1.20932</v>
      </c>
      <c r="J119" s="531">
        <f>0.617*J111^2/100</f>
        <v>1.57952</v>
      </c>
    </row>
    <row r="120" spans="1:10" x14ac:dyDescent="0.3">
      <c r="A120" s="527" t="s">
        <v>393</v>
      </c>
      <c r="B120" s="528"/>
      <c r="C120" s="528"/>
      <c r="D120" s="528"/>
      <c r="E120" s="529" t="s">
        <v>391</v>
      </c>
      <c r="F120" s="530">
        <f>F118*F119</f>
        <v>13.267967999999998</v>
      </c>
      <c r="G120" s="530">
        <f t="shared" ref="G120:J120" si="12">G118*G119</f>
        <v>0</v>
      </c>
      <c r="H120" s="530">
        <f t="shared" si="12"/>
        <v>0</v>
      </c>
      <c r="I120" s="530">
        <f t="shared" si="12"/>
        <v>100.37356</v>
      </c>
      <c r="J120" s="531">
        <f t="shared" si="12"/>
        <v>0</v>
      </c>
    </row>
    <row r="121" spans="1:10" ht="15" thickBot="1" x14ac:dyDescent="0.35">
      <c r="A121" s="532" t="s">
        <v>394</v>
      </c>
      <c r="B121" s="533"/>
      <c r="C121" s="533"/>
      <c r="D121" s="533"/>
      <c r="E121" s="534" t="s">
        <v>391</v>
      </c>
      <c r="F121" s="879">
        <f>SUM(F120:J120)</f>
        <v>113.64152799999999</v>
      </c>
      <c r="G121" s="879"/>
      <c r="H121" s="535" t="s">
        <v>213</v>
      </c>
      <c r="I121" s="535"/>
      <c r="J121" s="536"/>
    </row>
  </sheetData>
  <mergeCells count="35">
    <mergeCell ref="A63:A64"/>
    <mergeCell ref="B63:B64"/>
    <mergeCell ref="F63:J63"/>
    <mergeCell ref="A65:A72"/>
    <mergeCell ref="F76:G76"/>
    <mergeCell ref="A34:A35"/>
    <mergeCell ref="B34:B35"/>
    <mergeCell ref="F34:J34"/>
    <mergeCell ref="A36:A56"/>
    <mergeCell ref="F60:G60"/>
    <mergeCell ref="A110:A111"/>
    <mergeCell ref="B110:B111"/>
    <mergeCell ref="F110:J110"/>
    <mergeCell ref="A112:A117"/>
    <mergeCell ref="F121:G121"/>
    <mergeCell ref="A96:A97"/>
    <mergeCell ref="B96:B97"/>
    <mergeCell ref="F96:J96"/>
    <mergeCell ref="A98:A103"/>
    <mergeCell ref="F107:G107"/>
    <mergeCell ref="A82:A83"/>
    <mergeCell ref="B82:B83"/>
    <mergeCell ref="F82:J82"/>
    <mergeCell ref="A84:A89"/>
    <mergeCell ref="F93:G93"/>
    <mergeCell ref="A22:A27"/>
    <mergeCell ref="F31:G31"/>
    <mergeCell ref="A2:A3"/>
    <mergeCell ref="B2:B3"/>
    <mergeCell ref="F2:J2"/>
    <mergeCell ref="A4:A13"/>
    <mergeCell ref="F17:G17"/>
    <mergeCell ref="A20:A21"/>
    <mergeCell ref="B20:B21"/>
    <mergeCell ref="F20:J20"/>
  </mergeCells>
  <pageMargins left="0.7" right="0.7" top="0.75" bottom="0.75" header="0.3" footer="0.3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741"/>
  <sheetViews>
    <sheetView view="pageBreakPreview" topLeftCell="A395" zoomScaleNormal="100" zoomScaleSheetLayoutView="100" workbookViewId="0">
      <selection activeCell="B498" sqref="B498"/>
    </sheetView>
  </sheetViews>
  <sheetFormatPr defaultColWidth="9.109375" defaultRowHeight="13.8" x14ac:dyDescent="0.25"/>
  <cols>
    <col min="1" max="1" width="9.109375" style="1"/>
    <col min="2" max="2" width="22.88671875" style="1" customWidth="1"/>
    <col min="3" max="3" width="7.5546875" style="1" customWidth="1"/>
    <col min="4" max="4" width="9" style="1" customWidth="1"/>
    <col min="5" max="5" width="12.6640625" style="1" customWidth="1"/>
    <col min="6" max="6" width="14.6640625" style="1" customWidth="1"/>
    <col min="7" max="16384" width="9.109375" style="1"/>
  </cols>
  <sheetData>
    <row r="1" spans="1:6" ht="17.399999999999999" x14ac:dyDescent="0.3">
      <c r="A1" s="890" t="s">
        <v>143</v>
      </c>
      <c r="B1" s="890"/>
      <c r="C1" s="890"/>
      <c r="D1" s="890"/>
      <c r="E1" s="890"/>
      <c r="F1" s="890"/>
    </row>
    <row r="2" spans="1:6" ht="17.399999999999999" x14ac:dyDescent="0.3">
      <c r="A2" s="890" t="s">
        <v>144</v>
      </c>
      <c r="B2" s="890"/>
      <c r="C2" s="890"/>
      <c r="D2" s="890"/>
      <c r="E2" s="890"/>
      <c r="F2" s="890"/>
    </row>
    <row r="4" spans="1:6" ht="14.4" thickBot="1" x14ac:dyDescent="0.3">
      <c r="A4" s="71" t="s">
        <v>363</v>
      </c>
      <c r="B4" s="2" t="s">
        <v>364</v>
      </c>
      <c r="C4" s="3"/>
      <c r="D4" s="3"/>
      <c r="E4" s="3"/>
      <c r="F4" s="3"/>
    </row>
    <row r="5" spans="1:6" ht="16.5" customHeight="1" thickBot="1" x14ac:dyDescent="0.3">
      <c r="A5" s="4" t="s">
        <v>2</v>
      </c>
      <c r="B5" s="5" t="s">
        <v>3</v>
      </c>
      <c r="C5" s="5" t="s">
        <v>0</v>
      </c>
      <c r="D5" s="5" t="s">
        <v>4</v>
      </c>
      <c r="E5" s="5" t="s">
        <v>5</v>
      </c>
      <c r="F5" s="6" t="s">
        <v>6</v>
      </c>
    </row>
    <row r="6" spans="1:6" x14ac:dyDescent="0.25">
      <c r="A6" s="7">
        <v>1</v>
      </c>
      <c r="B6" s="8">
        <v>2</v>
      </c>
      <c r="C6" s="8">
        <v>3</v>
      </c>
      <c r="D6" s="8">
        <v>4</v>
      </c>
      <c r="E6" s="8">
        <v>5</v>
      </c>
      <c r="F6" s="9">
        <v>6</v>
      </c>
    </row>
    <row r="7" spans="1:6" x14ac:dyDescent="0.25">
      <c r="A7" s="10" t="s">
        <v>1</v>
      </c>
      <c r="B7" s="11" t="s">
        <v>76</v>
      </c>
      <c r="C7" s="12"/>
      <c r="D7" s="12"/>
      <c r="E7" s="12"/>
      <c r="F7" s="13"/>
    </row>
    <row r="8" spans="1:6" x14ac:dyDescent="0.25">
      <c r="A8" s="14"/>
      <c r="B8" s="15" t="s">
        <v>40</v>
      </c>
      <c r="C8" s="16" t="s">
        <v>7</v>
      </c>
      <c r="D8" s="17">
        <v>13.334</v>
      </c>
      <c r="E8" s="18">
        <f>'HARGA BAHAN'!E4</f>
        <v>125000</v>
      </c>
      <c r="F8" s="19">
        <f>+D8*E8</f>
        <v>1666750</v>
      </c>
    </row>
    <row r="9" spans="1:6" ht="14.4" thickBot="1" x14ac:dyDescent="0.3">
      <c r="A9" s="14"/>
      <c r="B9" s="20" t="s">
        <v>42</v>
      </c>
      <c r="C9" s="21" t="s">
        <v>7</v>
      </c>
      <c r="D9" s="22">
        <v>0.66</v>
      </c>
      <c r="E9" s="23">
        <f>'HARGA BAHAN'!E7</f>
        <v>175000</v>
      </c>
      <c r="F9" s="19">
        <f>+D9*E9</f>
        <v>115500</v>
      </c>
    </row>
    <row r="10" spans="1:6" ht="14.4" thickBot="1" x14ac:dyDescent="0.3">
      <c r="A10" s="28"/>
      <c r="B10" s="29"/>
      <c r="C10" s="30"/>
      <c r="D10" s="31" t="s">
        <v>8</v>
      </c>
      <c r="E10" s="32"/>
      <c r="F10" s="33">
        <f>SUM(F8:F9)</f>
        <v>1782250</v>
      </c>
    </row>
    <row r="11" spans="1:6" x14ac:dyDescent="0.25">
      <c r="A11" s="34" t="s">
        <v>9</v>
      </c>
      <c r="B11" s="35" t="s">
        <v>77</v>
      </c>
      <c r="C11" s="36"/>
      <c r="D11" s="36"/>
      <c r="E11" s="36"/>
      <c r="F11" s="37"/>
    </row>
    <row r="12" spans="1:6" ht="14.4" thickBot="1" x14ac:dyDescent="0.3">
      <c r="A12" s="38"/>
      <c r="B12" s="39"/>
      <c r="C12" s="40"/>
      <c r="D12" s="41"/>
      <c r="E12" s="42"/>
      <c r="F12" s="43">
        <f>+D12*E12</f>
        <v>0</v>
      </c>
    </row>
    <row r="13" spans="1:6" ht="14.4" thickBot="1" x14ac:dyDescent="0.3">
      <c r="A13" s="28"/>
      <c r="B13" s="44"/>
      <c r="C13" s="44"/>
      <c r="D13" s="45" t="s">
        <v>10</v>
      </c>
      <c r="E13" s="44"/>
      <c r="F13" s="33">
        <f>SUM(F12:F12)</f>
        <v>0</v>
      </c>
    </row>
    <row r="14" spans="1:6" x14ac:dyDescent="0.25">
      <c r="A14" s="34" t="s">
        <v>11</v>
      </c>
      <c r="B14" s="35" t="s">
        <v>78</v>
      </c>
      <c r="C14" s="36"/>
      <c r="D14" s="36"/>
      <c r="E14" s="36"/>
      <c r="F14" s="37"/>
    </row>
    <row r="15" spans="1:6" ht="14.4" thickBot="1" x14ac:dyDescent="0.3">
      <c r="A15" s="46"/>
      <c r="B15" s="47"/>
      <c r="C15" s="48"/>
      <c r="D15" s="49"/>
      <c r="E15" s="50"/>
      <c r="F15" s="43">
        <f>+D15*E15</f>
        <v>0</v>
      </c>
    </row>
    <row r="16" spans="1:6" ht="14.4" thickBot="1" x14ac:dyDescent="0.3">
      <c r="A16" s="28"/>
      <c r="B16" s="29"/>
      <c r="C16" s="30"/>
      <c r="D16" s="31" t="s">
        <v>12</v>
      </c>
      <c r="E16" s="32"/>
      <c r="F16" s="33">
        <f>SUM(F15)</f>
        <v>0</v>
      </c>
    </row>
    <row r="17" spans="1:6" x14ac:dyDescent="0.25">
      <c r="A17" s="34" t="s">
        <v>13</v>
      </c>
      <c r="B17" s="35" t="s">
        <v>79</v>
      </c>
      <c r="C17" s="52"/>
      <c r="D17" s="52"/>
      <c r="E17" s="53"/>
      <c r="F17" s="54">
        <f>+F10+F13+F16</f>
        <v>1782250</v>
      </c>
    </row>
    <row r="18" spans="1:6" x14ac:dyDescent="0.25">
      <c r="A18" s="10" t="s">
        <v>15</v>
      </c>
      <c r="B18" s="11" t="s">
        <v>80</v>
      </c>
      <c r="C18" s="55"/>
      <c r="D18" s="55"/>
      <c r="E18" s="56"/>
      <c r="F18" s="57">
        <f>F17*15%</f>
        <v>267337.5</v>
      </c>
    </row>
    <row r="19" spans="1:6" ht="14.4" thickBot="1" x14ac:dyDescent="0.3">
      <c r="A19" s="58" t="s">
        <v>16</v>
      </c>
      <c r="B19" s="59" t="s">
        <v>81</v>
      </c>
      <c r="C19" s="60"/>
      <c r="D19" s="60"/>
      <c r="E19" s="61"/>
      <c r="F19" s="62">
        <f>SUM(F17:F18)</f>
        <v>2049587.5</v>
      </c>
    </row>
    <row r="21" spans="1:6" ht="14.4" thickBot="1" x14ac:dyDescent="0.3">
      <c r="A21" s="71" t="s">
        <v>586</v>
      </c>
      <c r="B21" s="2" t="s">
        <v>587</v>
      </c>
      <c r="C21" s="3"/>
      <c r="D21" s="3"/>
      <c r="E21" s="3"/>
      <c r="F21" s="3"/>
    </row>
    <row r="22" spans="1:6" ht="28.2" thickBot="1" x14ac:dyDescent="0.3">
      <c r="A22" s="4" t="s">
        <v>2</v>
      </c>
      <c r="B22" s="5" t="s">
        <v>3</v>
      </c>
      <c r="C22" s="5" t="s">
        <v>0</v>
      </c>
      <c r="D22" s="5" t="s">
        <v>4</v>
      </c>
      <c r="E22" s="5" t="s">
        <v>5</v>
      </c>
      <c r="F22" s="6" t="s">
        <v>6</v>
      </c>
    </row>
    <row r="23" spans="1:6" x14ac:dyDescent="0.25">
      <c r="A23" s="7">
        <v>1</v>
      </c>
      <c r="B23" s="8">
        <v>2</v>
      </c>
      <c r="C23" s="8">
        <v>3</v>
      </c>
      <c r="D23" s="8">
        <v>4</v>
      </c>
      <c r="E23" s="8">
        <v>5</v>
      </c>
      <c r="F23" s="9">
        <v>6</v>
      </c>
    </row>
    <row r="24" spans="1:6" x14ac:dyDescent="0.25">
      <c r="A24" s="10" t="s">
        <v>1</v>
      </c>
      <c r="B24" s="11" t="s">
        <v>76</v>
      </c>
      <c r="C24" s="12"/>
      <c r="D24" s="12"/>
      <c r="E24" s="12"/>
      <c r="F24" s="13"/>
    </row>
    <row r="25" spans="1:6" x14ac:dyDescent="0.25">
      <c r="A25" s="14"/>
      <c r="B25" s="15" t="s">
        <v>40</v>
      </c>
      <c r="C25" s="16" t="s">
        <v>7</v>
      </c>
      <c r="D25" s="17">
        <v>0.1</v>
      </c>
      <c r="E25" s="18">
        <f>'HARGA BAHAN'!E4</f>
        <v>125000</v>
      </c>
      <c r="F25" s="19">
        <f>+D25*E25</f>
        <v>12500</v>
      </c>
    </row>
    <row r="26" spans="1:6" ht="14.4" thickBot="1" x14ac:dyDescent="0.3">
      <c r="A26" s="14"/>
      <c r="B26" s="20" t="s">
        <v>42</v>
      </c>
      <c r="C26" s="21" t="s">
        <v>7</v>
      </c>
      <c r="D26" s="22">
        <v>0.01</v>
      </c>
      <c r="E26" s="23">
        <f>'HARGA BAHAN'!E7</f>
        <v>175000</v>
      </c>
      <c r="F26" s="19">
        <f>+D26*E26</f>
        <v>1750</v>
      </c>
    </row>
    <row r="27" spans="1:6" ht="14.4" thickBot="1" x14ac:dyDescent="0.3">
      <c r="A27" s="28"/>
      <c r="B27" s="29"/>
      <c r="C27" s="30"/>
      <c r="D27" s="31" t="s">
        <v>8</v>
      </c>
      <c r="E27" s="32"/>
      <c r="F27" s="33">
        <f>SUM(F25:F26)</f>
        <v>14250</v>
      </c>
    </row>
    <row r="28" spans="1:6" x14ac:dyDescent="0.25">
      <c r="A28" s="34" t="s">
        <v>9</v>
      </c>
      <c r="B28" s="35" t="s">
        <v>77</v>
      </c>
      <c r="C28" s="36"/>
      <c r="D28" s="36"/>
      <c r="E28" s="36"/>
      <c r="F28" s="37"/>
    </row>
    <row r="29" spans="1:6" ht="14.4" thickBot="1" x14ac:dyDescent="0.3">
      <c r="A29" s="38"/>
      <c r="B29" s="39"/>
      <c r="C29" s="40"/>
      <c r="D29" s="41"/>
      <c r="E29" s="42"/>
      <c r="F29" s="43">
        <f>+D29*E29</f>
        <v>0</v>
      </c>
    </row>
    <row r="30" spans="1:6" ht="14.4" thickBot="1" x14ac:dyDescent="0.3">
      <c r="A30" s="28"/>
      <c r="B30" s="44"/>
      <c r="C30" s="44"/>
      <c r="D30" s="45" t="s">
        <v>10</v>
      </c>
      <c r="E30" s="44"/>
      <c r="F30" s="33">
        <f>SUM(F29:F29)</f>
        <v>0</v>
      </c>
    </row>
    <row r="31" spans="1:6" x14ac:dyDescent="0.25">
      <c r="A31" s="34" t="s">
        <v>11</v>
      </c>
      <c r="B31" s="35" t="s">
        <v>78</v>
      </c>
      <c r="C31" s="36"/>
      <c r="D31" s="36"/>
      <c r="E31" s="36"/>
      <c r="F31" s="37"/>
    </row>
    <row r="32" spans="1:6" ht="14.4" thickBot="1" x14ac:dyDescent="0.3">
      <c r="A32" s="46"/>
      <c r="B32" s="47"/>
      <c r="C32" s="48"/>
      <c r="D32" s="49"/>
      <c r="E32" s="50"/>
      <c r="F32" s="43">
        <f>+D32*E32</f>
        <v>0</v>
      </c>
    </row>
    <row r="33" spans="1:6" ht="14.4" thickBot="1" x14ac:dyDescent="0.3">
      <c r="A33" s="28"/>
      <c r="B33" s="29"/>
      <c r="C33" s="30"/>
      <c r="D33" s="31" t="s">
        <v>12</v>
      </c>
      <c r="E33" s="32"/>
      <c r="F33" s="33">
        <f>SUM(F32)</f>
        <v>0</v>
      </c>
    </row>
    <row r="34" spans="1:6" x14ac:dyDescent="0.25">
      <c r="A34" s="34" t="s">
        <v>13</v>
      </c>
      <c r="B34" s="35" t="s">
        <v>79</v>
      </c>
      <c r="C34" s="52"/>
      <c r="D34" s="52"/>
      <c r="E34" s="53"/>
      <c r="F34" s="54">
        <f>+F27+F30+F33</f>
        <v>14250</v>
      </c>
    </row>
    <row r="35" spans="1:6" x14ac:dyDescent="0.25">
      <c r="A35" s="10" t="s">
        <v>15</v>
      </c>
      <c r="B35" s="11" t="s">
        <v>80</v>
      </c>
      <c r="C35" s="55"/>
      <c r="D35" s="55"/>
      <c r="E35" s="56"/>
      <c r="F35" s="57">
        <f>F34*15%</f>
        <v>2137.5</v>
      </c>
    </row>
    <row r="36" spans="1:6" ht="14.4" thickBot="1" x14ac:dyDescent="0.3">
      <c r="A36" s="58" t="s">
        <v>16</v>
      </c>
      <c r="B36" s="59" t="s">
        <v>81</v>
      </c>
      <c r="C36" s="60"/>
      <c r="D36" s="60"/>
      <c r="E36" s="61"/>
      <c r="F36" s="62">
        <f>SUM(F34:F35)</f>
        <v>16387.5</v>
      </c>
    </row>
    <row r="38" spans="1:6" ht="16.2" thickBot="1" x14ac:dyDescent="0.3">
      <c r="A38" s="71" t="s">
        <v>60</v>
      </c>
      <c r="B38" s="2" t="s">
        <v>72</v>
      </c>
      <c r="C38" s="3"/>
      <c r="D38" s="3"/>
      <c r="E38" s="3"/>
      <c r="F38" s="3"/>
    </row>
    <row r="39" spans="1:6" ht="28.2" thickBot="1" x14ac:dyDescent="0.3">
      <c r="A39" s="4" t="s">
        <v>2</v>
      </c>
      <c r="B39" s="5" t="s">
        <v>3</v>
      </c>
      <c r="C39" s="5" t="s">
        <v>0</v>
      </c>
      <c r="D39" s="5" t="s">
        <v>4</v>
      </c>
      <c r="E39" s="5" t="s">
        <v>5</v>
      </c>
      <c r="F39" s="6" t="s">
        <v>6</v>
      </c>
    </row>
    <row r="40" spans="1:6" x14ac:dyDescent="0.25">
      <c r="A40" s="7">
        <v>1</v>
      </c>
      <c r="B40" s="8">
        <v>2</v>
      </c>
      <c r="C40" s="8">
        <v>3</v>
      </c>
      <c r="D40" s="8">
        <v>4</v>
      </c>
      <c r="E40" s="8">
        <v>5</v>
      </c>
      <c r="F40" s="9">
        <v>6</v>
      </c>
    </row>
    <row r="41" spans="1:6" x14ac:dyDescent="0.25">
      <c r="A41" s="10" t="s">
        <v>1</v>
      </c>
      <c r="B41" s="11" t="s">
        <v>76</v>
      </c>
      <c r="C41" s="12"/>
      <c r="D41" s="12"/>
      <c r="E41" s="12"/>
      <c r="F41" s="13"/>
    </row>
    <row r="42" spans="1:6" x14ac:dyDescent="0.25">
      <c r="A42" s="14"/>
      <c r="B42" s="15" t="s">
        <v>40</v>
      </c>
      <c r="C42" s="16" t="s">
        <v>7</v>
      </c>
      <c r="D42" s="17">
        <v>0.75</v>
      </c>
      <c r="E42" s="18">
        <f>'HARGA BAHAN'!E4</f>
        <v>125000</v>
      </c>
      <c r="F42" s="19">
        <f>+D42*E42</f>
        <v>93750</v>
      </c>
    </row>
    <row r="43" spans="1:6" ht="14.4" thickBot="1" x14ac:dyDescent="0.3">
      <c r="A43" s="14"/>
      <c r="B43" s="20" t="s">
        <v>86</v>
      </c>
      <c r="C43" s="21" t="s">
        <v>7</v>
      </c>
      <c r="D43" s="22">
        <v>2.5000000000000001E-2</v>
      </c>
      <c r="E43" s="23">
        <f>'HARGA BAHAN'!E5</f>
        <v>160000</v>
      </c>
      <c r="F43" s="19">
        <f>+D43*E43</f>
        <v>4000</v>
      </c>
    </row>
    <row r="44" spans="1:6" ht="14.4" thickBot="1" x14ac:dyDescent="0.3">
      <c r="A44" s="28"/>
      <c r="B44" s="29"/>
      <c r="C44" s="30"/>
      <c r="D44" s="31" t="s">
        <v>8</v>
      </c>
      <c r="E44" s="32"/>
      <c r="F44" s="33">
        <f>SUM(F42:F43)</f>
        <v>97750</v>
      </c>
    </row>
    <row r="45" spans="1:6" x14ac:dyDescent="0.25">
      <c r="A45" s="34" t="s">
        <v>9</v>
      </c>
      <c r="B45" s="35" t="s">
        <v>77</v>
      </c>
      <c r="C45" s="36"/>
      <c r="D45" s="36"/>
      <c r="E45" s="36"/>
      <c r="F45" s="37"/>
    </row>
    <row r="46" spans="1:6" ht="14.4" thickBot="1" x14ac:dyDescent="0.3">
      <c r="A46" s="38"/>
      <c r="B46" s="39"/>
      <c r="C46" s="40"/>
      <c r="D46" s="41"/>
      <c r="E46" s="42"/>
      <c r="F46" s="43">
        <f>+D46*E46</f>
        <v>0</v>
      </c>
    </row>
    <row r="47" spans="1:6" ht="14.4" thickBot="1" x14ac:dyDescent="0.3">
      <c r="A47" s="28"/>
      <c r="B47" s="44"/>
      <c r="C47" s="44"/>
      <c r="D47" s="45" t="s">
        <v>10</v>
      </c>
      <c r="E47" s="44"/>
      <c r="F47" s="33">
        <f>SUM(F46:F46)</f>
        <v>0</v>
      </c>
    </row>
    <row r="48" spans="1:6" x14ac:dyDescent="0.25">
      <c r="A48" s="34" t="s">
        <v>11</v>
      </c>
      <c r="B48" s="35" t="s">
        <v>78</v>
      </c>
      <c r="C48" s="36"/>
      <c r="D48" s="36"/>
      <c r="E48" s="36"/>
      <c r="F48" s="37"/>
    </row>
    <row r="49" spans="1:6" ht="14.4" thickBot="1" x14ac:dyDescent="0.3">
      <c r="A49" s="46"/>
      <c r="B49" s="47"/>
      <c r="C49" s="48"/>
      <c r="D49" s="49"/>
      <c r="E49" s="50"/>
      <c r="F49" s="43">
        <f>+D49*E49</f>
        <v>0</v>
      </c>
    </row>
    <row r="50" spans="1:6" ht="14.4" thickBot="1" x14ac:dyDescent="0.3">
      <c r="A50" s="28"/>
      <c r="B50" s="29"/>
      <c r="C50" s="30"/>
      <c r="D50" s="31" t="s">
        <v>12</v>
      </c>
      <c r="E50" s="32"/>
      <c r="F50" s="33">
        <f>SUM(F49)</f>
        <v>0</v>
      </c>
    </row>
    <row r="51" spans="1:6" x14ac:dyDescent="0.25">
      <c r="A51" s="34" t="s">
        <v>13</v>
      </c>
      <c r="B51" s="35" t="s">
        <v>79</v>
      </c>
      <c r="C51" s="52"/>
      <c r="D51" s="52"/>
      <c r="E51" s="53"/>
      <c r="F51" s="54">
        <f>+F44+F47+F50</f>
        <v>97750</v>
      </c>
    </row>
    <row r="52" spans="1:6" x14ac:dyDescent="0.25">
      <c r="A52" s="10" t="s">
        <v>15</v>
      </c>
      <c r="B52" s="11" t="s">
        <v>80</v>
      </c>
      <c r="C52" s="55"/>
      <c r="D52" s="55"/>
      <c r="E52" s="56"/>
      <c r="F52" s="57">
        <f>F51*15%</f>
        <v>14662.5</v>
      </c>
    </row>
    <row r="53" spans="1:6" ht="14.4" thickBot="1" x14ac:dyDescent="0.3">
      <c r="A53" s="58" t="s">
        <v>16</v>
      </c>
      <c r="B53" s="59" t="s">
        <v>81</v>
      </c>
      <c r="C53" s="60"/>
      <c r="D53" s="60"/>
      <c r="E53" s="61"/>
      <c r="F53" s="62">
        <f>SUM(F51:F52)</f>
        <v>112412.5</v>
      </c>
    </row>
    <row r="55" spans="1:6" ht="16.2" thickBot="1" x14ac:dyDescent="0.3">
      <c r="A55" s="71" t="s">
        <v>61</v>
      </c>
      <c r="B55" s="2" t="s">
        <v>73</v>
      </c>
      <c r="C55" s="3"/>
      <c r="D55" s="3"/>
      <c r="E55" s="3"/>
      <c r="F55" s="3"/>
    </row>
    <row r="56" spans="1:6" ht="28.2" thickBot="1" x14ac:dyDescent="0.3">
      <c r="A56" s="4" t="s">
        <v>2</v>
      </c>
      <c r="B56" s="5" t="s">
        <v>3</v>
      </c>
      <c r="C56" s="5" t="s">
        <v>0</v>
      </c>
      <c r="D56" s="5" t="s">
        <v>4</v>
      </c>
      <c r="E56" s="5" t="s">
        <v>5</v>
      </c>
      <c r="F56" s="6" t="s">
        <v>6</v>
      </c>
    </row>
    <row r="57" spans="1:6" x14ac:dyDescent="0.25">
      <c r="A57" s="7">
        <v>1</v>
      </c>
      <c r="B57" s="8">
        <v>2</v>
      </c>
      <c r="C57" s="8">
        <v>3</v>
      </c>
      <c r="D57" s="8">
        <v>4</v>
      </c>
      <c r="E57" s="8">
        <v>5</v>
      </c>
      <c r="F57" s="9">
        <v>6</v>
      </c>
    </row>
    <row r="58" spans="1:6" x14ac:dyDescent="0.25">
      <c r="A58" s="10" t="s">
        <v>1</v>
      </c>
      <c r="B58" s="11" t="s">
        <v>76</v>
      </c>
      <c r="C58" s="12"/>
      <c r="D58" s="12"/>
      <c r="E58" s="12"/>
      <c r="F58" s="13"/>
    </row>
    <row r="59" spans="1:6" x14ac:dyDescent="0.25">
      <c r="A59" s="14"/>
      <c r="B59" s="15" t="s">
        <v>40</v>
      </c>
      <c r="C59" s="16" t="s">
        <v>7</v>
      </c>
      <c r="D59" s="17">
        <v>1.05</v>
      </c>
      <c r="E59" s="18">
        <f>'HARGA BAHAN'!E4</f>
        <v>125000</v>
      </c>
      <c r="F59" s="19">
        <f>+D59*E59</f>
        <v>131250</v>
      </c>
    </row>
    <row r="60" spans="1:6" ht="14.4" thickBot="1" x14ac:dyDescent="0.3">
      <c r="A60" s="14"/>
      <c r="B60" s="20" t="s">
        <v>86</v>
      </c>
      <c r="C60" s="21" t="s">
        <v>7</v>
      </c>
      <c r="D60" s="22">
        <v>6.7000000000000004E-2</v>
      </c>
      <c r="E60" s="23">
        <f>'HARGA BAHAN'!E5</f>
        <v>160000</v>
      </c>
      <c r="F60" s="19">
        <f>+D60*E60</f>
        <v>10720</v>
      </c>
    </row>
    <row r="61" spans="1:6" ht="14.4" thickBot="1" x14ac:dyDescent="0.3">
      <c r="A61" s="28"/>
      <c r="B61" s="29"/>
      <c r="C61" s="30"/>
      <c r="D61" s="31" t="s">
        <v>8</v>
      </c>
      <c r="E61" s="32"/>
      <c r="F61" s="33">
        <f>SUM(F59:F60)</f>
        <v>141970</v>
      </c>
    </row>
    <row r="62" spans="1:6" x14ac:dyDescent="0.25">
      <c r="A62" s="34" t="s">
        <v>9</v>
      </c>
      <c r="B62" s="35" t="s">
        <v>77</v>
      </c>
      <c r="C62" s="36"/>
      <c r="D62" s="36"/>
      <c r="E62" s="36"/>
      <c r="F62" s="37"/>
    </row>
    <row r="63" spans="1:6" ht="14.4" thickBot="1" x14ac:dyDescent="0.3">
      <c r="A63" s="38"/>
      <c r="B63" s="39"/>
      <c r="C63" s="40"/>
      <c r="D63" s="41"/>
      <c r="E63" s="42"/>
      <c r="F63" s="43">
        <f>+D63*E63</f>
        <v>0</v>
      </c>
    </row>
    <row r="64" spans="1:6" ht="14.4" thickBot="1" x14ac:dyDescent="0.3">
      <c r="A64" s="28"/>
      <c r="B64" s="44"/>
      <c r="C64" s="44"/>
      <c r="D64" s="45" t="s">
        <v>10</v>
      </c>
      <c r="E64" s="44"/>
      <c r="F64" s="33">
        <f>SUM(F63:F63)</f>
        <v>0</v>
      </c>
    </row>
    <row r="65" spans="1:6" x14ac:dyDescent="0.25">
      <c r="A65" s="34" t="s">
        <v>11</v>
      </c>
      <c r="B65" s="35" t="s">
        <v>78</v>
      </c>
      <c r="C65" s="36"/>
      <c r="D65" s="36"/>
      <c r="E65" s="36"/>
      <c r="F65" s="37"/>
    </row>
    <row r="66" spans="1:6" ht="14.4" thickBot="1" x14ac:dyDescent="0.3">
      <c r="A66" s="46"/>
      <c r="B66" s="47"/>
      <c r="C66" s="48"/>
      <c r="D66" s="49"/>
      <c r="E66" s="50"/>
      <c r="F66" s="43">
        <f>+D66*E66</f>
        <v>0</v>
      </c>
    </row>
    <row r="67" spans="1:6" ht="14.4" thickBot="1" x14ac:dyDescent="0.3">
      <c r="A67" s="28"/>
      <c r="B67" s="29"/>
      <c r="C67" s="30"/>
      <c r="D67" s="31" t="s">
        <v>12</v>
      </c>
      <c r="E67" s="32"/>
      <c r="F67" s="33">
        <f>SUM(F66)</f>
        <v>0</v>
      </c>
    </row>
    <row r="68" spans="1:6" x14ac:dyDescent="0.25">
      <c r="A68" s="34" t="s">
        <v>13</v>
      </c>
      <c r="B68" s="35" t="s">
        <v>79</v>
      </c>
      <c r="C68" s="52"/>
      <c r="D68" s="52"/>
      <c r="E68" s="53"/>
      <c r="F68" s="54">
        <f>+F61+F64+F67</f>
        <v>141970</v>
      </c>
    </row>
    <row r="69" spans="1:6" x14ac:dyDescent="0.25">
      <c r="A69" s="10" t="s">
        <v>15</v>
      </c>
      <c r="B69" s="11" t="s">
        <v>80</v>
      </c>
      <c r="C69" s="55"/>
      <c r="D69" s="55"/>
      <c r="E69" s="56"/>
      <c r="F69" s="57">
        <f>F68*15%</f>
        <v>21295.5</v>
      </c>
    </row>
    <row r="70" spans="1:6" ht="14.4" thickBot="1" x14ac:dyDescent="0.3">
      <c r="A70" s="58" t="s">
        <v>16</v>
      </c>
      <c r="B70" s="59" t="s">
        <v>81</v>
      </c>
      <c r="C70" s="60"/>
      <c r="D70" s="60"/>
      <c r="E70" s="61"/>
      <c r="F70" s="62">
        <f>SUM(F68:F69)</f>
        <v>163265.5</v>
      </c>
    </row>
    <row r="72" spans="1:6" ht="14.4" thickBot="1" x14ac:dyDescent="0.3">
      <c r="A72" s="406" t="s">
        <v>261</v>
      </c>
      <c r="B72" s="2" t="s">
        <v>262</v>
      </c>
      <c r="C72" s="3"/>
      <c r="D72" s="3"/>
      <c r="E72" s="3"/>
      <c r="F72" s="3"/>
    </row>
    <row r="73" spans="1:6" ht="28.2" thickBot="1" x14ac:dyDescent="0.3">
      <c r="A73" s="4" t="s">
        <v>2</v>
      </c>
      <c r="B73" s="5" t="s">
        <v>3</v>
      </c>
      <c r="C73" s="5" t="s">
        <v>0</v>
      </c>
      <c r="D73" s="5" t="s">
        <v>4</v>
      </c>
      <c r="E73" s="5" t="s">
        <v>5</v>
      </c>
      <c r="F73" s="6" t="s">
        <v>6</v>
      </c>
    </row>
    <row r="74" spans="1:6" x14ac:dyDescent="0.25">
      <c r="A74" s="7">
        <v>1</v>
      </c>
      <c r="B74" s="8">
        <v>2</v>
      </c>
      <c r="C74" s="8">
        <v>3</v>
      </c>
      <c r="D74" s="8">
        <v>4</v>
      </c>
      <c r="E74" s="8">
        <v>5</v>
      </c>
      <c r="F74" s="9">
        <v>6</v>
      </c>
    </row>
    <row r="75" spans="1:6" x14ac:dyDescent="0.25">
      <c r="A75" s="407" t="s">
        <v>1</v>
      </c>
      <c r="B75" s="408" t="s">
        <v>150</v>
      </c>
      <c r="C75" s="409"/>
      <c r="D75" s="409"/>
      <c r="E75" s="409"/>
      <c r="F75" s="410"/>
    </row>
    <row r="76" spans="1:6" x14ac:dyDescent="0.25">
      <c r="A76" s="14"/>
      <c r="B76" s="15" t="s">
        <v>151</v>
      </c>
      <c r="C76" s="16" t="s">
        <v>7</v>
      </c>
      <c r="D76" s="17">
        <v>0.04</v>
      </c>
      <c r="E76" s="18">
        <f>'HARGA BAHAN'!E4</f>
        <v>125000</v>
      </c>
      <c r="F76" s="19">
        <f>+D76*E76</f>
        <v>5000</v>
      </c>
    </row>
    <row r="77" spans="1:6" ht="14.4" thickBot="1" x14ac:dyDescent="0.3">
      <c r="A77" s="14"/>
      <c r="B77" s="15" t="s">
        <v>154</v>
      </c>
      <c r="C77" s="16" t="s">
        <v>7</v>
      </c>
      <c r="D77" s="17">
        <v>0.02</v>
      </c>
      <c r="E77" s="23">
        <f>'HARGA BAHAN'!E7</f>
        <v>175000</v>
      </c>
      <c r="F77" s="19">
        <f t="shared" ref="F77" si="0">+D77*E77</f>
        <v>3500</v>
      </c>
    </row>
    <row r="78" spans="1:6" ht="14.4" thickBot="1" x14ac:dyDescent="0.3">
      <c r="A78" s="28"/>
      <c r="B78" s="29"/>
      <c r="C78" s="30"/>
      <c r="D78" s="31" t="s">
        <v>8</v>
      </c>
      <c r="E78" s="32"/>
      <c r="F78" s="33">
        <f>SUM(F76:F77)</f>
        <v>8500</v>
      </c>
    </row>
    <row r="79" spans="1:6" x14ac:dyDescent="0.25">
      <c r="A79" s="34" t="s">
        <v>9</v>
      </c>
      <c r="B79" s="35" t="s">
        <v>155</v>
      </c>
      <c r="C79" s="36"/>
      <c r="D79" s="36"/>
      <c r="E79" s="36"/>
      <c r="F79" s="37"/>
    </row>
    <row r="80" spans="1:6" ht="14.4" thickBot="1" x14ac:dyDescent="0.3">
      <c r="A80" s="38"/>
      <c r="B80" s="39"/>
      <c r="C80" s="40"/>
      <c r="D80" s="41"/>
      <c r="E80" s="42"/>
      <c r="F80" s="43"/>
    </row>
    <row r="81" spans="1:6" ht="14.4" thickBot="1" x14ac:dyDescent="0.3">
      <c r="A81" s="28"/>
      <c r="B81" s="44"/>
      <c r="C81" s="44"/>
      <c r="D81" s="45" t="s">
        <v>10</v>
      </c>
      <c r="E81" s="44"/>
      <c r="F81" s="33">
        <f>SUM(F80:F80)</f>
        <v>0</v>
      </c>
    </row>
    <row r="82" spans="1:6" x14ac:dyDescent="0.25">
      <c r="A82" s="34" t="s">
        <v>11</v>
      </c>
      <c r="B82" s="35" t="s">
        <v>160</v>
      </c>
      <c r="C82" s="36"/>
      <c r="D82" s="36"/>
      <c r="E82" s="36"/>
      <c r="F82" s="37"/>
    </row>
    <row r="83" spans="1:6" ht="14.4" thickBot="1" x14ac:dyDescent="0.3">
      <c r="A83" s="46"/>
      <c r="B83" s="47"/>
      <c r="C83" s="48"/>
      <c r="D83" s="49"/>
      <c r="E83" s="50"/>
      <c r="F83" s="51"/>
    </row>
    <row r="84" spans="1:6" ht="14.4" thickBot="1" x14ac:dyDescent="0.3">
      <c r="A84" s="28"/>
      <c r="B84" s="29"/>
      <c r="C84" s="30"/>
      <c r="D84" s="31" t="s">
        <v>12</v>
      </c>
      <c r="E84" s="32"/>
      <c r="F84" s="33">
        <f>SUM(F83)</f>
        <v>0</v>
      </c>
    </row>
    <row r="85" spans="1:6" x14ac:dyDescent="0.25">
      <c r="A85" s="34" t="s">
        <v>13</v>
      </c>
      <c r="B85" s="35" t="s">
        <v>14</v>
      </c>
      <c r="C85" s="52"/>
      <c r="D85" s="52"/>
      <c r="E85" s="53"/>
      <c r="F85" s="54">
        <f>+F78+F81+F84</f>
        <v>8500</v>
      </c>
    </row>
    <row r="86" spans="1:6" x14ac:dyDescent="0.25">
      <c r="A86" s="10" t="s">
        <v>15</v>
      </c>
      <c r="B86" s="11" t="s">
        <v>51</v>
      </c>
      <c r="C86" s="55"/>
      <c r="D86" s="55"/>
      <c r="E86" s="56"/>
      <c r="F86" s="57">
        <f>F85*15%</f>
        <v>1275</v>
      </c>
    </row>
    <row r="87" spans="1:6" ht="14.4" thickBot="1" x14ac:dyDescent="0.3">
      <c r="A87" s="58" t="s">
        <v>16</v>
      </c>
      <c r="B87" s="59" t="s">
        <v>17</v>
      </c>
      <c r="C87" s="60"/>
      <c r="D87" s="60"/>
      <c r="E87" s="61"/>
      <c r="F87" s="62">
        <f>SUM(F85:F86)</f>
        <v>9775</v>
      </c>
    </row>
    <row r="89" spans="1:6" ht="14.4" thickBot="1" x14ac:dyDescent="0.3">
      <c r="A89" s="406" t="s">
        <v>263</v>
      </c>
      <c r="B89" s="2" t="s">
        <v>264</v>
      </c>
      <c r="C89" s="3"/>
      <c r="D89" s="3"/>
      <c r="E89" s="3"/>
      <c r="F89" s="3"/>
    </row>
    <row r="90" spans="1:6" ht="28.2" thickBot="1" x14ac:dyDescent="0.3">
      <c r="A90" s="4" t="s">
        <v>2</v>
      </c>
      <c r="B90" s="5" t="s">
        <v>3</v>
      </c>
      <c r="C90" s="5" t="s">
        <v>0</v>
      </c>
      <c r="D90" s="5" t="s">
        <v>4</v>
      </c>
      <c r="E90" s="5" t="s">
        <v>5</v>
      </c>
      <c r="F90" s="6" t="s">
        <v>6</v>
      </c>
    </row>
    <row r="91" spans="1:6" x14ac:dyDescent="0.25">
      <c r="A91" s="7">
        <v>1</v>
      </c>
      <c r="B91" s="8">
        <v>2</v>
      </c>
      <c r="C91" s="8">
        <v>3</v>
      </c>
      <c r="D91" s="8">
        <v>4</v>
      </c>
      <c r="E91" s="8">
        <v>5</v>
      </c>
      <c r="F91" s="9">
        <v>6</v>
      </c>
    </row>
    <row r="92" spans="1:6" x14ac:dyDescent="0.25">
      <c r="A92" s="407" t="s">
        <v>1</v>
      </c>
      <c r="B92" s="408" t="s">
        <v>150</v>
      </c>
      <c r="C92" s="409"/>
      <c r="D92" s="409"/>
      <c r="E92" s="409"/>
      <c r="F92" s="410"/>
    </row>
    <row r="93" spans="1:6" ht="14.4" thickBot="1" x14ac:dyDescent="0.3">
      <c r="A93" s="14"/>
      <c r="B93" s="15" t="s">
        <v>151</v>
      </c>
      <c r="C93" s="16" t="s">
        <v>7</v>
      </c>
      <c r="D93" s="17">
        <v>0.03</v>
      </c>
      <c r="E93" s="18">
        <f>'HARGA BAHAN'!E4</f>
        <v>125000</v>
      </c>
      <c r="F93" s="19">
        <f>+D93*E93</f>
        <v>3750</v>
      </c>
    </row>
    <row r="94" spans="1:6" ht="14.4" thickBot="1" x14ac:dyDescent="0.3">
      <c r="A94" s="28"/>
      <c r="B94" s="29"/>
      <c r="C94" s="30"/>
      <c r="D94" s="31" t="s">
        <v>8</v>
      </c>
      <c r="E94" s="32"/>
      <c r="F94" s="33">
        <f>SUM(F93:F93)</f>
        <v>3750</v>
      </c>
    </row>
    <row r="95" spans="1:6" x14ac:dyDescent="0.25">
      <c r="A95" s="34" t="s">
        <v>9</v>
      </c>
      <c r="B95" s="35" t="s">
        <v>155</v>
      </c>
      <c r="C95" s="36"/>
      <c r="D95" s="36"/>
      <c r="E95" s="36"/>
      <c r="F95" s="37"/>
    </row>
    <row r="96" spans="1:6" ht="14.4" thickBot="1" x14ac:dyDescent="0.3">
      <c r="A96" s="38"/>
      <c r="B96" s="39"/>
      <c r="C96" s="40"/>
      <c r="D96" s="41"/>
      <c r="E96" s="42"/>
      <c r="F96" s="43"/>
    </row>
    <row r="97" spans="1:6" ht="14.4" thickBot="1" x14ac:dyDescent="0.3">
      <c r="A97" s="28"/>
      <c r="B97" s="44"/>
      <c r="C97" s="44"/>
      <c r="D97" s="45" t="s">
        <v>10</v>
      </c>
      <c r="E97" s="44"/>
      <c r="F97" s="33">
        <f>SUM(F96:F96)</f>
        <v>0</v>
      </c>
    </row>
    <row r="98" spans="1:6" x14ac:dyDescent="0.25">
      <c r="A98" s="34" t="s">
        <v>11</v>
      </c>
      <c r="B98" s="35" t="s">
        <v>160</v>
      </c>
      <c r="C98" s="36"/>
      <c r="D98" s="36"/>
      <c r="E98" s="36"/>
      <c r="F98" s="37"/>
    </row>
    <row r="99" spans="1:6" ht="14.4" thickBot="1" x14ac:dyDescent="0.3">
      <c r="A99" s="46"/>
      <c r="B99" s="47"/>
      <c r="C99" s="48"/>
      <c r="D99" s="49"/>
      <c r="E99" s="50"/>
      <c r="F99" s="51"/>
    </row>
    <row r="100" spans="1:6" ht="14.4" thickBot="1" x14ac:dyDescent="0.3">
      <c r="A100" s="28"/>
      <c r="B100" s="29"/>
      <c r="C100" s="30"/>
      <c r="D100" s="31" t="s">
        <v>12</v>
      </c>
      <c r="E100" s="32"/>
      <c r="F100" s="33">
        <f>SUM(F99)</f>
        <v>0</v>
      </c>
    </row>
    <row r="101" spans="1:6" x14ac:dyDescent="0.25">
      <c r="A101" s="34" t="s">
        <v>13</v>
      </c>
      <c r="B101" s="35" t="s">
        <v>14</v>
      </c>
      <c r="C101" s="52"/>
      <c r="D101" s="52"/>
      <c r="E101" s="53"/>
      <c r="F101" s="54">
        <f>+F94+F97+F100</f>
        <v>3750</v>
      </c>
    </row>
    <row r="102" spans="1:6" x14ac:dyDescent="0.25">
      <c r="A102" s="10" t="s">
        <v>15</v>
      </c>
      <c r="B102" s="11" t="s">
        <v>51</v>
      </c>
      <c r="C102" s="55"/>
      <c r="D102" s="55"/>
      <c r="E102" s="56"/>
      <c r="F102" s="57">
        <f>F101*15%</f>
        <v>562.5</v>
      </c>
    </row>
    <row r="103" spans="1:6" ht="14.4" thickBot="1" x14ac:dyDescent="0.3">
      <c r="A103" s="58" t="s">
        <v>16</v>
      </c>
      <c r="B103" s="59" t="s">
        <v>17</v>
      </c>
      <c r="C103" s="60"/>
      <c r="D103" s="60"/>
      <c r="E103" s="61"/>
      <c r="F103" s="62">
        <f>SUM(F101:F102)</f>
        <v>4312.5</v>
      </c>
    </row>
    <row r="105" spans="1:6" ht="14.4" thickBot="1" x14ac:dyDescent="0.3">
      <c r="A105" s="411" t="s">
        <v>265</v>
      </c>
      <c r="B105" s="161" t="s">
        <v>266</v>
      </c>
      <c r="C105" s="162"/>
      <c r="D105" s="162"/>
      <c r="E105" s="162"/>
      <c r="F105" s="162"/>
    </row>
    <row r="106" spans="1:6" ht="28.2" thickBot="1" x14ac:dyDescent="0.3">
      <c r="A106" s="163" t="s">
        <v>2</v>
      </c>
      <c r="B106" s="164" t="s">
        <v>3</v>
      </c>
      <c r="C106" s="164" t="s">
        <v>0</v>
      </c>
      <c r="D106" s="164" t="s">
        <v>4</v>
      </c>
      <c r="E106" s="164" t="s">
        <v>5</v>
      </c>
      <c r="F106" s="165" t="s">
        <v>6</v>
      </c>
    </row>
    <row r="107" spans="1:6" x14ac:dyDescent="0.25">
      <c r="A107" s="166">
        <v>1</v>
      </c>
      <c r="B107" s="167">
        <v>2</v>
      </c>
      <c r="C107" s="167">
        <v>3</v>
      </c>
      <c r="D107" s="167">
        <v>4</v>
      </c>
      <c r="E107" s="167">
        <v>5</v>
      </c>
      <c r="F107" s="168">
        <v>6</v>
      </c>
    </row>
    <row r="108" spans="1:6" x14ac:dyDescent="0.25">
      <c r="A108" s="412" t="s">
        <v>1</v>
      </c>
      <c r="B108" s="413" t="s">
        <v>150</v>
      </c>
      <c r="C108" s="414"/>
      <c r="D108" s="414"/>
      <c r="E108" s="414"/>
      <c r="F108" s="415"/>
    </row>
    <row r="109" spans="1:6" x14ac:dyDescent="0.25">
      <c r="A109" s="173"/>
      <c r="B109" s="174" t="s">
        <v>151</v>
      </c>
      <c r="C109" s="175" t="s">
        <v>7</v>
      </c>
      <c r="D109" s="176">
        <v>0.04</v>
      </c>
      <c r="E109" s="177">
        <f>'HARGA BAHAN'!E4</f>
        <v>125000</v>
      </c>
      <c r="F109" s="178">
        <f>+D109*E109</f>
        <v>5000</v>
      </c>
    </row>
    <row r="110" spans="1:6" ht="14.4" thickBot="1" x14ac:dyDescent="0.3">
      <c r="A110" s="173"/>
      <c r="B110" s="174" t="s">
        <v>154</v>
      </c>
      <c r="C110" s="175" t="s">
        <v>7</v>
      </c>
      <c r="D110" s="176">
        <v>1.4999999999999999E-2</v>
      </c>
      <c r="E110" s="204">
        <f>'HARGA BAHAN'!E7</f>
        <v>175000</v>
      </c>
      <c r="F110" s="178">
        <f t="shared" ref="F110" si="1">+D110*E110</f>
        <v>2625</v>
      </c>
    </row>
    <row r="111" spans="1:6" ht="14.4" thickBot="1" x14ac:dyDescent="0.3">
      <c r="A111" s="186"/>
      <c r="B111" s="187"/>
      <c r="C111" s="188"/>
      <c r="D111" s="189" t="s">
        <v>8</v>
      </c>
      <c r="E111" s="190"/>
      <c r="F111" s="191">
        <f>SUM(F109:F110)</f>
        <v>7625</v>
      </c>
    </row>
    <row r="112" spans="1:6" x14ac:dyDescent="0.25">
      <c r="A112" s="192" t="s">
        <v>9</v>
      </c>
      <c r="B112" s="193" t="s">
        <v>155</v>
      </c>
      <c r="C112" s="194"/>
      <c r="D112" s="194"/>
      <c r="E112" s="194"/>
      <c r="F112" s="195"/>
    </row>
    <row r="113" spans="1:6" ht="14.4" thickBot="1" x14ac:dyDescent="0.3">
      <c r="A113" s="196"/>
      <c r="B113" s="197"/>
      <c r="C113" s="198"/>
      <c r="D113" s="388"/>
      <c r="E113" s="200"/>
      <c r="F113" s="201"/>
    </row>
    <row r="114" spans="1:6" ht="14.4" thickBot="1" x14ac:dyDescent="0.3">
      <c r="A114" s="186"/>
      <c r="B114" s="205"/>
      <c r="C114" s="205"/>
      <c r="D114" s="206" t="s">
        <v>10</v>
      </c>
      <c r="E114" s="205"/>
      <c r="F114" s="191">
        <f>SUM(F113:F113)</f>
        <v>0</v>
      </c>
    </row>
    <row r="115" spans="1:6" x14ac:dyDescent="0.25">
      <c r="A115" s="192" t="s">
        <v>11</v>
      </c>
      <c r="B115" s="193" t="s">
        <v>160</v>
      </c>
      <c r="C115" s="194"/>
      <c r="D115" s="194"/>
      <c r="E115" s="194"/>
      <c r="F115" s="195"/>
    </row>
    <row r="116" spans="1:6" ht="14.4" thickBot="1" x14ac:dyDescent="0.3">
      <c r="A116" s="207"/>
      <c r="B116" s="208"/>
      <c r="C116" s="209"/>
      <c r="D116" s="210"/>
      <c r="E116" s="211"/>
      <c r="F116" s="212"/>
    </row>
    <row r="117" spans="1:6" ht="14.4" thickBot="1" x14ac:dyDescent="0.3">
      <c r="A117" s="186"/>
      <c r="B117" s="187"/>
      <c r="C117" s="188"/>
      <c r="D117" s="189" t="s">
        <v>12</v>
      </c>
      <c r="E117" s="190"/>
      <c r="F117" s="191">
        <f>SUM(F116)</f>
        <v>0</v>
      </c>
    </row>
    <row r="118" spans="1:6" x14ac:dyDescent="0.25">
      <c r="A118" s="192" t="s">
        <v>13</v>
      </c>
      <c r="B118" s="193" t="s">
        <v>14</v>
      </c>
      <c r="C118" s="213"/>
      <c r="D118" s="213"/>
      <c r="E118" s="214"/>
      <c r="F118" s="215">
        <f>+F111+F114+F117</f>
        <v>7625</v>
      </c>
    </row>
    <row r="119" spans="1:6" x14ac:dyDescent="0.25">
      <c r="A119" s="169" t="s">
        <v>15</v>
      </c>
      <c r="B119" s="170" t="s">
        <v>51</v>
      </c>
      <c r="C119" s="216"/>
      <c r="D119" s="216"/>
      <c r="E119" s="217"/>
      <c r="F119" s="218">
        <f>F118*15%</f>
        <v>1143.75</v>
      </c>
    </row>
    <row r="120" spans="1:6" ht="14.4" thickBot="1" x14ac:dyDescent="0.3">
      <c r="A120" s="219" t="s">
        <v>16</v>
      </c>
      <c r="B120" s="220" t="s">
        <v>17</v>
      </c>
      <c r="C120" s="221"/>
      <c r="D120" s="221"/>
      <c r="E120" s="222"/>
      <c r="F120" s="223">
        <f>SUM(F118:F119)</f>
        <v>8768.75</v>
      </c>
    </row>
    <row r="122" spans="1:6" ht="14.4" thickBot="1" x14ac:dyDescent="0.3">
      <c r="A122" s="411" t="s">
        <v>576</v>
      </c>
      <c r="B122" s="161" t="s">
        <v>577</v>
      </c>
      <c r="C122" s="162"/>
      <c r="D122" s="162"/>
      <c r="E122" s="162"/>
      <c r="F122" s="162"/>
    </row>
    <row r="123" spans="1:6" ht="28.2" thickBot="1" x14ac:dyDescent="0.3">
      <c r="A123" s="163" t="s">
        <v>2</v>
      </c>
      <c r="B123" s="164" t="s">
        <v>3</v>
      </c>
      <c r="C123" s="164" t="s">
        <v>0</v>
      </c>
      <c r="D123" s="164" t="s">
        <v>4</v>
      </c>
      <c r="E123" s="164" t="s">
        <v>5</v>
      </c>
      <c r="F123" s="165" t="s">
        <v>6</v>
      </c>
    </row>
    <row r="124" spans="1:6" x14ac:dyDescent="0.25">
      <c r="A124" s="166">
        <v>1</v>
      </c>
      <c r="B124" s="167">
        <v>2</v>
      </c>
      <c r="C124" s="167">
        <v>3</v>
      </c>
      <c r="D124" s="167">
        <v>4</v>
      </c>
      <c r="E124" s="167">
        <v>5</v>
      </c>
      <c r="F124" s="168">
        <v>6</v>
      </c>
    </row>
    <row r="125" spans="1:6" x14ac:dyDescent="0.25">
      <c r="A125" s="412" t="s">
        <v>1</v>
      </c>
      <c r="B125" s="413" t="s">
        <v>150</v>
      </c>
      <c r="C125" s="414"/>
      <c r="D125" s="414"/>
      <c r="E125" s="414"/>
      <c r="F125" s="415"/>
    </row>
    <row r="126" spans="1:6" x14ac:dyDescent="0.25">
      <c r="A126" s="173"/>
      <c r="B126" s="174" t="s">
        <v>151</v>
      </c>
      <c r="C126" s="175" t="s">
        <v>7</v>
      </c>
      <c r="D126" s="176">
        <v>0.05</v>
      </c>
      <c r="E126" s="177">
        <f>'HARGA BAHAN'!E4</f>
        <v>125000</v>
      </c>
      <c r="F126" s="178">
        <f>+D126*E126</f>
        <v>6250</v>
      </c>
    </row>
    <row r="127" spans="1:6" ht="14.4" thickBot="1" x14ac:dyDescent="0.3">
      <c r="A127" s="173"/>
      <c r="B127" s="174" t="s">
        <v>154</v>
      </c>
      <c r="C127" s="175" t="s">
        <v>7</v>
      </c>
      <c r="D127" s="176">
        <v>2.5000000000000001E-2</v>
      </c>
      <c r="E127" s="204">
        <f>'HARGA BAHAN'!E7</f>
        <v>175000</v>
      </c>
      <c r="F127" s="178">
        <f t="shared" ref="F127" si="2">+D127*E127</f>
        <v>4375</v>
      </c>
    </row>
    <row r="128" spans="1:6" ht="14.4" thickBot="1" x14ac:dyDescent="0.3">
      <c r="A128" s="186"/>
      <c r="B128" s="187"/>
      <c r="C128" s="188"/>
      <c r="D128" s="189" t="s">
        <v>8</v>
      </c>
      <c r="E128" s="190"/>
      <c r="F128" s="191">
        <f>SUM(F126:F127)</f>
        <v>10625</v>
      </c>
    </row>
    <row r="129" spans="1:6" x14ac:dyDescent="0.25">
      <c r="A129" s="192" t="s">
        <v>9</v>
      </c>
      <c r="B129" s="193" t="s">
        <v>155</v>
      </c>
      <c r="C129" s="194"/>
      <c r="D129" s="194"/>
      <c r="E129" s="194"/>
      <c r="F129" s="195"/>
    </row>
    <row r="130" spans="1:6" ht="14.4" thickBot="1" x14ac:dyDescent="0.3">
      <c r="A130" s="196"/>
      <c r="B130" s="197"/>
      <c r="C130" s="198"/>
      <c r="D130" s="388"/>
      <c r="E130" s="200"/>
      <c r="F130" s="201"/>
    </row>
    <row r="131" spans="1:6" ht="14.4" thickBot="1" x14ac:dyDescent="0.3">
      <c r="A131" s="186"/>
      <c r="B131" s="205"/>
      <c r="C131" s="205"/>
      <c r="D131" s="206" t="s">
        <v>10</v>
      </c>
      <c r="E131" s="205"/>
      <c r="F131" s="191">
        <f>SUM(F130:F130)</f>
        <v>0</v>
      </c>
    </row>
    <row r="132" spans="1:6" x14ac:dyDescent="0.25">
      <c r="A132" s="192" t="s">
        <v>11</v>
      </c>
      <c r="B132" s="193" t="s">
        <v>160</v>
      </c>
      <c r="C132" s="194"/>
      <c r="D132" s="194"/>
      <c r="E132" s="194"/>
      <c r="F132" s="195"/>
    </row>
    <row r="133" spans="1:6" ht="14.4" thickBot="1" x14ac:dyDescent="0.3">
      <c r="A133" s="207"/>
      <c r="B133" s="208"/>
      <c r="C133" s="209"/>
      <c r="D133" s="210"/>
      <c r="E133" s="211"/>
      <c r="F133" s="212"/>
    </row>
    <row r="134" spans="1:6" ht="14.4" thickBot="1" x14ac:dyDescent="0.3">
      <c r="A134" s="186"/>
      <c r="B134" s="187"/>
      <c r="C134" s="188"/>
      <c r="D134" s="189" t="s">
        <v>12</v>
      </c>
      <c r="E134" s="190"/>
      <c r="F134" s="191">
        <f>SUM(F133)</f>
        <v>0</v>
      </c>
    </row>
    <row r="135" spans="1:6" x14ac:dyDescent="0.25">
      <c r="A135" s="192" t="s">
        <v>13</v>
      </c>
      <c r="B135" s="193" t="s">
        <v>14</v>
      </c>
      <c r="C135" s="213"/>
      <c r="D135" s="213"/>
      <c r="E135" s="214"/>
      <c r="F135" s="215">
        <f>+F128+F131+F134</f>
        <v>10625</v>
      </c>
    </row>
    <row r="136" spans="1:6" x14ac:dyDescent="0.25">
      <c r="A136" s="169" t="s">
        <v>15</v>
      </c>
      <c r="B136" s="170" t="s">
        <v>51</v>
      </c>
      <c r="C136" s="216"/>
      <c r="D136" s="216"/>
      <c r="E136" s="217"/>
      <c r="F136" s="218">
        <f>F135*15%</f>
        <v>1593.75</v>
      </c>
    </row>
    <row r="137" spans="1:6" ht="14.4" thickBot="1" x14ac:dyDescent="0.3">
      <c r="A137" s="219" t="s">
        <v>16</v>
      </c>
      <c r="B137" s="220" t="s">
        <v>17</v>
      </c>
      <c r="C137" s="221"/>
      <c r="D137" s="221"/>
      <c r="E137" s="222"/>
      <c r="F137" s="223">
        <f>SUM(F135:F136)</f>
        <v>12218.75</v>
      </c>
    </row>
    <row r="139" spans="1:6" ht="14.4" thickBot="1" x14ac:dyDescent="0.3">
      <c r="A139" s="552" t="s">
        <v>424</v>
      </c>
      <c r="B139" s="297" t="s">
        <v>425</v>
      </c>
      <c r="C139" s="298"/>
      <c r="D139" s="298"/>
      <c r="E139" s="298"/>
      <c r="F139" s="298"/>
    </row>
    <row r="140" spans="1:6" ht="28.2" thickBot="1" x14ac:dyDescent="0.3">
      <c r="A140" s="299" t="s">
        <v>2</v>
      </c>
      <c r="B140" s="300" t="s">
        <v>3</v>
      </c>
      <c r="C140" s="300" t="s">
        <v>0</v>
      </c>
      <c r="D140" s="300" t="s">
        <v>4</v>
      </c>
      <c r="E140" s="300" t="s">
        <v>5</v>
      </c>
      <c r="F140" s="301" t="s">
        <v>6</v>
      </c>
    </row>
    <row r="141" spans="1:6" x14ac:dyDescent="0.25">
      <c r="A141" s="302">
        <v>1</v>
      </c>
      <c r="B141" s="303">
        <v>2</v>
      </c>
      <c r="C141" s="303">
        <v>3</v>
      </c>
      <c r="D141" s="303">
        <v>4</v>
      </c>
      <c r="E141" s="303">
        <v>5</v>
      </c>
      <c r="F141" s="304">
        <v>6</v>
      </c>
    </row>
    <row r="142" spans="1:6" x14ac:dyDescent="0.25">
      <c r="A142" s="553" t="s">
        <v>1</v>
      </c>
      <c r="B142" s="554" t="s">
        <v>150</v>
      </c>
      <c r="C142" s="555"/>
      <c r="D142" s="555"/>
      <c r="E142" s="555"/>
      <c r="F142" s="556"/>
    </row>
    <row r="143" spans="1:6" x14ac:dyDescent="0.25">
      <c r="A143" s="309"/>
      <c r="B143" s="310" t="s">
        <v>151</v>
      </c>
      <c r="C143" s="311" t="s">
        <v>7</v>
      </c>
      <c r="D143" s="312">
        <v>0.3</v>
      </c>
      <c r="E143" s="313">
        <f>'HARGA BAHAN'!E4</f>
        <v>125000</v>
      </c>
      <c r="F143" s="314">
        <f>+D143*E143</f>
        <v>37500</v>
      </c>
    </row>
    <row r="144" spans="1:6" ht="14.4" thickBot="1" x14ac:dyDescent="0.3">
      <c r="A144" s="309"/>
      <c r="B144" s="310" t="s">
        <v>154</v>
      </c>
      <c r="C144" s="311" t="s">
        <v>7</v>
      </c>
      <c r="D144" s="312">
        <v>0.03</v>
      </c>
      <c r="E144" s="551">
        <f>'HARGA BAHAN'!E7</f>
        <v>175000</v>
      </c>
      <c r="F144" s="314">
        <f t="shared" ref="F144" si="3">+D144*E144</f>
        <v>5250</v>
      </c>
    </row>
    <row r="145" spans="1:6" ht="14.4" thickBot="1" x14ac:dyDescent="0.3">
      <c r="A145" s="322"/>
      <c r="B145" s="323"/>
      <c r="C145" s="324"/>
      <c r="D145" s="325" t="s">
        <v>8</v>
      </c>
      <c r="E145" s="326"/>
      <c r="F145" s="327">
        <f>SUM(F143:F144)</f>
        <v>42750</v>
      </c>
    </row>
    <row r="146" spans="1:6" x14ac:dyDescent="0.25">
      <c r="A146" s="328" t="s">
        <v>9</v>
      </c>
      <c r="B146" s="329" t="s">
        <v>155</v>
      </c>
      <c r="C146" s="330"/>
      <c r="D146" s="330"/>
      <c r="E146" s="330"/>
      <c r="F146" s="331"/>
    </row>
    <row r="147" spans="1:6" ht="14.4" thickBot="1" x14ac:dyDescent="0.3">
      <c r="A147" s="332"/>
      <c r="B147" s="333"/>
      <c r="C147" s="334"/>
      <c r="D147" s="335"/>
      <c r="E147" s="336"/>
      <c r="F147" s="403"/>
    </row>
    <row r="148" spans="1:6" ht="14.4" thickBot="1" x14ac:dyDescent="0.3">
      <c r="A148" s="322"/>
      <c r="B148" s="347"/>
      <c r="C148" s="347"/>
      <c r="D148" s="348" t="s">
        <v>10</v>
      </c>
      <c r="E148" s="347"/>
      <c r="F148" s="327">
        <f>SUM(F147:F147)</f>
        <v>0</v>
      </c>
    </row>
    <row r="149" spans="1:6" x14ac:dyDescent="0.25">
      <c r="A149" s="328" t="s">
        <v>11</v>
      </c>
      <c r="B149" s="329" t="s">
        <v>160</v>
      </c>
      <c r="C149" s="330"/>
      <c r="D149" s="330"/>
      <c r="E149" s="330"/>
      <c r="F149" s="331"/>
    </row>
    <row r="150" spans="1:6" ht="14.4" thickBot="1" x14ac:dyDescent="0.3">
      <c r="A150" s="349"/>
      <c r="B150" s="350"/>
      <c r="C150" s="351"/>
      <c r="D150" s="352"/>
      <c r="E150" s="353"/>
      <c r="F150" s="354"/>
    </row>
    <row r="151" spans="1:6" ht="14.4" thickBot="1" x14ac:dyDescent="0.3">
      <c r="A151" s="322"/>
      <c r="B151" s="323"/>
      <c r="C151" s="324"/>
      <c r="D151" s="325" t="s">
        <v>12</v>
      </c>
      <c r="E151" s="326"/>
      <c r="F151" s="327">
        <f>SUM(F150)</f>
        <v>0</v>
      </c>
    </row>
    <row r="152" spans="1:6" x14ac:dyDescent="0.25">
      <c r="A152" s="328" t="s">
        <v>13</v>
      </c>
      <c r="B152" s="329" t="s">
        <v>14</v>
      </c>
      <c r="C152" s="355"/>
      <c r="D152" s="355"/>
      <c r="E152" s="356"/>
      <c r="F152" s="357">
        <f>+F145+F148+F151</f>
        <v>42750</v>
      </c>
    </row>
    <row r="153" spans="1:6" x14ac:dyDescent="0.25">
      <c r="A153" s="305" t="s">
        <v>15</v>
      </c>
      <c r="B153" s="306" t="s">
        <v>51</v>
      </c>
      <c r="C153" s="358"/>
      <c r="D153" s="358"/>
      <c r="E153" s="359"/>
      <c r="F153" s="360">
        <f>F152*15%</f>
        <v>6412.5</v>
      </c>
    </row>
    <row r="154" spans="1:6" ht="14.4" thickBot="1" x14ac:dyDescent="0.3">
      <c r="A154" s="361" t="s">
        <v>16</v>
      </c>
      <c r="B154" s="362" t="s">
        <v>17</v>
      </c>
      <c r="C154" s="363"/>
      <c r="D154" s="363"/>
      <c r="E154" s="364"/>
      <c r="F154" s="365">
        <f>SUM(F152:F153)</f>
        <v>49162.5</v>
      </c>
    </row>
    <row r="156" spans="1:6" ht="14.4" thickBot="1" x14ac:dyDescent="0.3">
      <c r="A156" s="552" t="s">
        <v>435</v>
      </c>
      <c r="B156" s="297" t="s">
        <v>434</v>
      </c>
      <c r="C156" s="298"/>
      <c r="D156" s="298"/>
      <c r="E156" s="298"/>
      <c r="F156" s="298"/>
    </row>
    <row r="157" spans="1:6" ht="28.2" thickBot="1" x14ac:dyDescent="0.3">
      <c r="A157" s="299" t="s">
        <v>2</v>
      </c>
      <c r="B157" s="300" t="s">
        <v>3</v>
      </c>
      <c r="C157" s="300" t="s">
        <v>0</v>
      </c>
      <c r="D157" s="300" t="s">
        <v>4</v>
      </c>
      <c r="E157" s="300" t="s">
        <v>5</v>
      </c>
      <c r="F157" s="301" t="s">
        <v>6</v>
      </c>
    </row>
    <row r="158" spans="1:6" x14ac:dyDescent="0.25">
      <c r="A158" s="302">
        <v>1</v>
      </c>
      <c r="B158" s="303">
        <v>2</v>
      </c>
      <c r="C158" s="303">
        <v>3</v>
      </c>
      <c r="D158" s="303">
        <v>4</v>
      </c>
      <c r="E158" s="303">
        <v>5</v>
      </c>
      <c r="F158" s="304">
        <v>6</v>
      </c>
    </row>
    <row r="159" spans="1:6" x14ac:dyDescent="0.25">
      <c r="A159" s="553" t="s">
        <v>1</v>
      </c>
      <c r="B159" s="554" t="s">
        <v>150</v>
      </c>
      <c r="C159" s="555"/>
      <c r="D159" s="555"/>
      <c r="E159" s="555"/>
      <c r="F159" s="556"/>
    </row>
    <row r="160" spans="1:6" x14ac:dyDescent="0.25">
      <c r="A160" s="309"/>
      <c r="B160" s="310" t="s">
        <v>151</v>
      </c>
      <c r="C160" s="311" t="s">
        <v>7</v>
      </c>
      <c r="D160" s="312">
        <v>2</v>
      </c>
      <c r="E160" s="313">
        <f>'HARGA BAHAN'!E4</f>
        <v>125000</v>
      </c>
      <c r="F160" s="314">
        <f>+D160*E160</f>
        <v>250000</v>
      </c>
    </row>
    <row r="161" spans="1:6" ht="14.4" thickBot="1" x14ac:dyDescent="0.3">
      <c r="A161" s="309"/>
      <c r="B161" s="310" t="s">
        <v>154</v>
      </c>
      <c r="C161" s="311" t="s">
        <v>7</v>
      </c>
      <c r="D161" s="312">
        <v>0.1</v>
      </c>
      <c r="E161" s="551">
        <f>'HARGA BAHAN'!E7</f>
        <v>175000</v>
      </c>
      <c r="F161" s="314">
        <f t="shared" ref="F161" si="4">+D161*E161</f>
        <v>17500</v>
      </c>
    </row>
    <row r="162" spans="1:6" ht="14.4" thickBot="1" x14ac:dyDescent="0.3">
      <c r="A162" s="322"/>
      <c r="B162" s="323"/>
      <c r="C162" s="324"/>
      <c r="D162" s="325" t="s">
        <v>8</v>
      </c>
      <c r="E162" s="326"/>
      <c r="F162" s="327">
        <f>SUM(F160:F161)</f>
        <v>267500</v>
      </c>
    </row>
    <row r="163" spans="1:6" x14ac:dyDescent="0.25">
      <c r="A163" s="328" t="s">
        <v>9</v>
      </c>
      <c r="B163" s="329" t="s">
        <v>155</v>
      </c>
      <c r="C163" s="330"/>
      <c r="D163" s="330"/>
      <c r="E163" s="330"/>
      <c r="F163" s="331"/>
    </row>
    <row r="164" spans="1:6" ht="14.4" thickBot="1" x14ac:dyDescent="0.3">
      <c r="A164" s="332"/>
      <c r="B164" s="333"/>
      <c r="C164" s="334"/>
      <c r="D164" s="335"/>
      <c r="E164" s="336"/>
      <c r="F164" s="403"/>
    </row>
    <row r="165" spans="1:6" ht="14.4" thickBot="1" x14ac:dyDescent="0.3">
      <c r="A165" s="322"/>
      <c r="B165" s="347"/>
      <c r="C165" s="347"/>
      <c r="D165" s="348" t="s">
        <v>10</v>
      </c>
      <c r="E165" s="347"/>
      <c r="F165" s="327">
        <f>SUM(F164:F164)</f>
        <v>0</v>
      </c>
    </row>
    <row r="166" spans="1:6" x14ac:dyDescent="0.25">
      <c r="A166" s="328" t="s">
        <v>11</v>
      </c>
      <c r="B166" s="329" t="s">
        <v>160</v>
      </c>
      <c r="C166" s="330"/>
      <c r="D166" s="330"/>
      <c r="E166" s="330"/>
      <c r="F166" s="331"/>
    </row>
    <row r="167" spans="1:6" ht="14.4" thickBot="1" x14ac:dyDescent="0.3">
      <c r="A167" s="349"/>
      <c r="B167" s="350"/>
      <c r="C167" s="351"/>
      <c r="D167" s="352"/>
      <c r="E167" s="353"/>
      <c r="F167" s="354"/>
    </row>
    <row r="168" spans="1:6" ht="14.4" thickBot="1" x14ac:dyDescent="0.3">
      <c r="A168" s="322"/>
      <c r="B168" s="323"/>
      <c r="C168" s="324"/>
      <c r="D168" s="325" t="s">
        <v>12</v>
      </c>
      <c r="E168" s="326"/>
      <c r="F168" s="327">
        <f>SUM(F167)</f>
        <v>0</v>
      </c>
    </row>
    <row r="169" spans="1:6" x14ac:dyDescent="0.25">
      <c r="A169" s="328" t="s">
        <v>13</v>
      </c>
      <c r="B169" s="329" t="s">
        <v>14</v>
      </c>
      <c r="C169" s="355"/>
      <c r="D169" s="355"/>
      <c r="E169" s="356"/>
      <c r="F169" s="357">
        <f>+F162+F165+F168</f>
        <v>267500</v>
      </c>
    </row>
    <row r="170" spans="1:6" x14ac:dyDescent="0.25">
      <c r="A170" s="305" t="s">
        <v>15</v>
      </c>
      <c r="B170" s="306" t="s">
        <v>51</v>
      </c>
      <c r="C170" s="358"/>
      <c r="D170" s="358"/>
      <c r="E170" s="359"/>
      <c r="F170" s="360">
        <f>F169*15%</f>
        <v>40125</v>
      </c>
    </row>
    <row r="171" spans="1:6" ht="14.4" thickBot="1" x14ac:dyDescent="0.3">
      <c r="A171" s="361" t="s">
        <v>16</v>
      </c>
      <c r="B171" s="362" t="s">
        <v>17</v>
      </c>
      <c r="C171" s="363"/>
      <c r="D171" s="363"/>
      <c r="E171" s="364"/>
      <c r="F171" s="365">
        <f>SUM(F169:F170)</f>
        <v>307625</v>
      </c>
    </row>
    <row r="173" spans="1:6" ht="14.4" x14ac:dyDescent="0.3">
      <c r="A173" s="561" t="s">
        <v>440</v>
      </c>
      <c r="B173"/>
      <c r="C173"/>
      <c r="D173"/>
      <c r="E173"/>
      <c r="F173"/>
    </row>
    <row r="174" spans="1:6" ht="14.4" x14ac:dyDescent="0.3">
      <c r="A174" s="561"/>
      <c r="B174"/>
      <c r="C174"/>
      <c r="D174"/>
      <c r="E174"/>
      <c r="F174"/>
    </row>
    <row r="175" spans="1:6" ht="14.4" thickBot="1" x14ac:dyDescent="0.3">
      <c r="A175" s="71" t="s">
        <v>441</v>
      </c>
      <c r="B175" s="2" t="s">
        <v>442</v>
      </c>
      <c r="C175" s="3"/>
      <c r="D175" s="3"/>
      <c r="E175" s="3"/>
      <c r="F175" s="3"/>
    </row>
    <row r="176" spans="1:6" ht="28.2" thickBot="1" x14ac:dyDescent="0.3">
      <c r="A176" s="4" t="s">
        <v>2</v>
      </c>
      <c r="B176" s="5" t="s">
        <v>3</v>
      </c>
      <c r="C176" s="5" t="s">
        <v>0</v>
      </c>
      <c r="D176" s="5" t="s">
        <v>4</v>
      </c>
      <c r="E176" s="5" t="s">
        <v>5</v>
      </c>
      <c r="F176" s="6" t="s">
        <v>6</v>
      </c>
    </row>
    <row r="177" spans="1:6" x14ac:dyDescent="0.25">
      <c r="A177" s="7">
        <v>1</v>
      </c>
      <c r="B177" s="8">
        <v>2</v>
      </c>
      <c r="C177" s="8">
        <v>3</v>
      </c>
      <c r="D177" s="8">
        <v>4</v>
      </c>
      <c r="E177" s="8">
        <v>5</v>
      </c>
      <c r="F177" s="9">
        <v>6</v>
      </c>
    </row>
    <row r="178" spans="1:6" x14ac:dyDescent="0.25">
      <c r="A178" s="10" t="s">
        <v>1</v>
      </c>
      <c r="B178" s="11" t="s">
        <v>150</v>
      </c>
      <c r="C178" s="12"/>
      <c r="D178" s="12"/>
      <c r="E178" s="12"/>
      <c r="F178" s="13"/>
    </row>
    <row r="179" spans="1:6" x14ac:dyDescent="0.25">
      <c r="A179" s="14"/>
      <c r="B179" s="15" t="s">
        <v>151</v>
      </c>
      <c r="C179" s="16" t="s">
        <v>7</v>
      </c>
      <c r="D179" s="17">
        <v>1.5</v>
      </c>
      <c r="E179" s="18">
        <f>'HARGA BAHAN'!E4</f>
        <v>125000</v>
      </c>
      <c r="F179" s="19">
        <f t="shared" ref="F179:F182" si="5">+D179*E179</f>
        <v>187500</v>
      </c>
    </row>
    <row r="180" spans="1:6" x14ac:dyDescent="0.25">
      <c r="A180" s="24"/>
      <c r="B180" s="25" t="s">
        <v>332</v>
      </c>
      <c r="C180" s="26" t="s">
        <v>7</v>
      </c>
      <c r="D180" s="27">
        <v>0.75</v>
      </c>
      <c r="E180" s="18">
        <f>'HARGA BAHAN'!E5</f>
        <v>160000</v>
      </c>
      <c r="F180" s="157">
        <f t="shared" si="5"/>
        <v>120000</v>
      </c>
    </row>
    <row r="181" spans="1:6" x14ac:dyDescent="0.25">
      <c r="A181" s="24"/>
      <c r="B181" s="25" t="s">
        <v>153</v>
      </c>
      <c r="C181" s="26" t="s">
        <v>7</v>
      </c>
      <c r="D181" s="27">
        <v>7.4999999999999997E-2</v>
      </c>
      <c r="E181" s="18">
        <f>'HARGA BAHAN'!E6</f>
        <v>180000</v>
      </c>
      <c r="F181" s="157">
        <f t="shared" si="5"/>
        <v>13500</v>
      </c>
    </row>
    <row r="182" spans="1:6" ht="14.4" thickBot="1" x14ac:dyDescent="0.3">
      <c r="A182" s="24"/>
      <c r="B182" s="25" t="s">
        <v>154</v>
      </c>
      <c r="C182" s="26" t="s">
        <v>7</v>
      </c>
      <c r="D182" s="27">
        <v>7.4999999999999997E-2</v>
      </c>
      <c r="E182" s="18">
        <f>'HARGA BAHAN'!E7</f>
        <v>175000</v>
      </c>
      <c r="F182" s="157">
        <f t="shared" si="5"/>
        <v>13125</v>
      </c>
    </row>
    <row r="183" spans="1:6" ht="14.4" thickBot="1" x14ac:dyDescent="0.3">
      <c r="A183" s="28"/>
      <c r="B183" s="29"/>
      <c r="C183" s="30"/>
      <c r="D183" s="31" t="s">
        <v>8</v>
      </c>
      <c r="E183" s="32"/>
      <c r="F183" s="33">
        <f>SUM(F179:F182)</f>
        <v>334125</v>
      </c>
    </row>
    <row r="184" spans="1:6" x14ac:dyDescent="0.25">
      <c r="A184" s="34" t="s">
        <v>9</v>
      </c>
      <c r="B184" s="35" t="s">
        <v>155</v>
      </c>
      <c r="C184" s="36"/>
      <c r="D184" s="36"/>
      <c r="E184" s="36"/>
      <c r="F184" s="37"/>
    </row>
    <row r="185" spans="1:6" ht="15.6" x14ac:dyDescent="0.25">
      <c r="A185" s="562"/>
      <c r="B185" s="39" t="s">
        <v>443</v>
      </c>
      <c r="C185" s="48" t="s">
        <v>444</v>
      </c>
      <c r="D185" s="41">
        <v>1.2</v>
      </c>
      <c r="E185" s="23">
        <f>'HARGA BAHAN'!E10</f>
        <v>280000</v>
      </c>
      <c r="F185" s="157">
        <f t="shared" ref="F185:F187" si="6">+D185*E185</f>
        <v>336000</v>
      </c>
    </row>
    <row r="186" spans="1:6" x14ac:dyDescent="0.25">
      <c r="A186" s="563"/>
      <c r="B186" s="20" t="s">
        <v>445</v>
      </c>
      <c r="C186" s="65" t="s">
        <v>213</v>
      </c>
      <c r="D186" s="22">
        <v>202</v>
      </c>
      <c r="E186" s="23">
        <f>'HARGA BAHAN'!E13</f>
        <v>2000</v>
      </c>
      <c r="F186" s="157">
        <f t="shared" si="6"/>
        <v>404000</v>
      </c>
    </row>
    <row r="187" spans="1:6" ht="16.2" thickBot="1" x14ac:dyDescent="0.3">
      <c r="A187" s="564"/>
      <c r="B187" s="15" t="s">
        <v>446</v>
      </c>
      <c r="C187" s="81" t="s">
        <v>444</v>
      </c>
      <c r="D187" s="17">
        <v>0.34</v>
      </c>
      <c r="E187" s="23">
        <f>'HARGA BAHAN'!E15</f>
        <v>210000</v>
      </c>
      <c r="F187" s="157">
        <f t="shared" si="6"/>
        <v>71400</v>
      </c>
    </row>
    <row r="188" spans="1:6" ht="14.4" thickBot="1" x14ac:dyDescent="0.3">
      <c r="A188" s="28"/>
      <c r="B188" s="44"/>
      <c r="C188" s="44"/>
      <c r="D188" s="45" t="s">
        <v>10</v>
      </c>
      <c r="E188" s="44"/>
      <c r="F188" s="33">
        <f>SUM(F185:F187)</f>
        <v>811400</v>
      </c>
    </row>
    <row r="189" spans="1:6" x14ac:dyDescent="0.25">
      <c r="A189" s="34" t="s">
        <v>11</v>
      </c>
      <c r="B189" s="35" t="s">
        <v>160</v>
      </c>
      <c r="C189" s="36"/>
      <c r="D189" s="36"/>
      <c r="E189" s="36"/>
      <c r="F189" s="37"/>
    </row>
    <row r="190" spans="1:6" ht="14.4" thickBot="1" x14ac:dyDescent="0.3">
      <c r="A190" s="46"/>
      <c r="B190" s="47"/>
      <c r="C190" s="48"/>
      <c r="D190" s="49"/>
      <c r="E190" s="50"/>
      <c r="F190" s="51"/>
    </row>
    <row r="191" spans="1:6" ht="14.4" thickBot="1" x14ac:dyDescent="0.3">
      <c r="A191" s="28"/>
      <c r="B191" s="29"/>
      <c r="C191" s="30"/>
      <c r="D191" s="31" t="s">
        <v>12</v>
      </c>
      <c r="E191" s="32"/>
      <c r="F191" s="33">
        <f>SUM(F190)</f>
        <v>0</v>
      </c>
    </row>
    <row r="192" spans="1:6" x14ac:dyDescent="0.25">
      <c r="A192" s="34" t="s">
        <v>13</v>
      </c>
      <c r="B192" s="35" t="s">
        <v>14</v>
      </c>
      <c r="C192" s="52"/>
      <c r="D192" s="52"/>
      <c r="E192" s="53"/>
      <c r="F192" s="54">
        <f>+F183+F188+F191</f>
        <v>1145525</v>
      </c>
    </row>
    <row r="193" spans="1:6" x14ac:dyDescent="0.25">
      <c r="A193" s="10" t="s">
        <v>15</v>
      </c>
      <c r="B193" s="11" t="s">
        <v>51</v>
      </c>
      <c r="C193" s="55"/>
      <c r="D193" s="55"/>
      <c r="E193" s="56"/>
      <c r="F193" s="57">
        <f>F192*15%</f>
        <v>171828.75</v>
      </c>
    </row>
    <row r="194" spans="1:6" ht="14.4" thickBot="1" x14ac:dyDescent="0.3">
      <c r="A194" s="58" t="s">
        <v>16</v>
      </c>
      <c r="B194" s="59" t="s">
        <v>17</v>
      </c>
      <c r="C194" s="60"/>
      <c r="D194" s="60"/>
      <c r="E194" s="61"/>
      <c r="F194" s="62">
        <f>SUM(F192:F193)</f>
        <v>1317353.75</v>
      </c>
    </row>
    <row r="196" spans="1:6" ht="16.2" thickBot="1" x14ac:dyDescent="0.3">
      <c r="A196" s="71" t="s">
        <v>74</v>
      </c>
      <c r="B196" s="2" t="s">
        <v>83</v>
      </c>
      <c r="C196" s="3"/>
      <c r="D196" s="3"/>
      <c r="E196" s="3"/>
      <c r="F196" s="3"/>
    </row>
    <row r="197" spans="1:6" ht="28.2" thickBot="1" x14ac:dyDescent="0.3">
      <c r="A197" s="4" t="s">
        <v>2</v>
      </c>
      <c r="B197" s="5" t="s">
        <v>3</v>
      </c>
      <c r="C197" s="5" t="s">
        <v>0</v>
      </c>
      <c r="D197" s="5" t="s">
        <v>4</v>
      </c>
      <c r="E197" s="5" t="s">
        <v>5</v>
      </c>
      <c r="F197" s="6" t="s">
        <v>6</v>
      </c>
    </row>
    <row r="198" spans="1:6" x14ac:dyDescent="0.25">
      <c r="A198" s="7">
        <v>1</v>
      </c>
      <c r="B198" s="8">
        <v>2</v>
      </c>
      <c r="C198" s="8">
        <v>3</v>
      </c>
      <c r="D198" s="8">
        <v>4</v>
      </c>
      <c r="E198" s="8">
        <v>5</v>
      </c>
      <c r="F198" s="9">
        <v>6</v>
      </c>
    </row>
    <row r="199" spans="1:6" x14ac:dyDescent="0.25">
      <c r="A199" s="10" t="s">
        <v>1</v>
      </c>
      <c r="B199" s="11" t="s">
        <v>76</v>
      </c>
      <c r="C199" s="12"/>
      <c r="D199" s="12"/>
      <c r="E199" s="12"/>
      <c r="F199" s="13"/>
    </row>
    <row r="200" spans="1:6" x14ac:dyDescent="0.25">
      <c r="A200" s="14"/>
      <c r="B200" s="15" t="s">
        <v>40</v>
      </c>
      <c r="C200" s="16" t="s">
        <v>7</v>
      </c>
      <c r="D200" s="17">
        <v>0.78</v>
      </c>
      <c r="E200" s="18">
        <f>'HARGA BAHAN'!E4</f>
        <v>125000</v>
      </c>
      <c r="F200" s="19">
        <f>+D200*E200</f>
        <v>97500</v>
      </c>
    </row>
    <row r="201" spans="1:6" x14ac:dyDescent="0.25">
      <c r="A201" s="14"/>
      <c r="B201" s="20" t="s">
        <v>86</v>
      </c>
      <c r="C201" s="21" t="s">
        <v>7</v>
      </c>
      <c r="D201" s="22">
        <v>0.39</v>
      </c>
      <c r="E201" s="18">
        <f>'HARGA BAHAN'!E5</f>
        <v>160000</v>
      </c>
      <c r="F201" s="19">
        <f>+D201*E201</f>
        <v>62400</v>
      </c>
    </row>
    <row r="202" spans="1:6" x14ac:dyDescent="0.25">
      <c r="A202" s="14"/>
      <c r="B202" s="15" t="s">
        <v>87</v>
      </c>
      <c r="C202" s="16" t="s">
        <v>7</v>
      </c>
      <c r="D202" s="17">
        <v>3.9E-2</v>
      </c>
      <c r="E202" s="18">
        <f>'HARGA BAHAN'!E6</f>
        <v>180000</v>
      </c>
      <c r="F202" s="19">
        <f>+D202*E202</f>
        <v>7020</v>
      </c>
    </row>
    <row r="203" spans="1:6" ht="14.4" thickBot="1" x14ac:dyDescent="0.3">
      <c r="A203" s="24"/>
      <c r="B203" s="25" t="s">
        <v>42</v>
      </c>
      <c r="C203" s="26" t="s">
        <v>7</v>
      </c>
      <c r="D203" s="27">
        <v>3.9E-2</v>
      </c>
      <c r="E203" s="18">
        <f>'HARGA BAHAN'!E7</f>
        <v>175000</v>
      </c>
      <c r="F203" s="19">
        <f>+D203*E203</f>
        <v>6825</v>
      </c>
    </row>
    <row r="204" spans="1:6" ht="14.4" thickBot="1" x14ac:dyDescent="0.3">
      <c r="A204" s="28"/>
      <c r="B204" s="29"/>
      <c r="C204" s="30"/>
      <c r="D204" s="31" t="s">
        <v>8</v>
      </c>
      <c r="E204" s="32"/>
      <c r="F204" s="33">
        <f>SUM(F200:F203)</f>
        <v>173745</v>
      </c>
    </row>
    <row r="205" spans="1:6" x14ac:dyDescent="0.25">
      <c r="A205" s="34" t="s">
        <v>9</v>
      </c>
      <c r="B205" s="35" t="s">
        <v>77</v>
      </c>
      <c r="C205" s="36"/>
      <c r="D205" s="36"/>
      <c r="E205" s="36"/>
      <c r="F205" s="37"/>
    </row>
    <row r="206" spans="1:6" ht="15.6" x14ac:dyDescent="0.25">
      <c r="A206" s="38"/>
      <c r="B206" s="39" t="s">
        <v>75</v>
      </c>
      <c r="C206" s="40" t="s">
        <v>24</v>
      </c>
      <c r="D206" s="41">
        <v>1.2</v>
      </c>
      <c r="E206" s="42">
        <f>'HARGA BAHAN'!E10</f>
        <v>280000</v>
      </c>
      <c r="F206" s="43">
        <f>+D206*E206</f>
        <v>336000</v>
      </c>
    </row>
    <row r="207" spans="1:6" ht="16.2" thickBot="1" x14ac:dyDescent="0.3">
      <c r="A207" s="14"/>
      <c r="B207" s="15" t="s">
        <v>82</v>
      </c>
      <c r="C207" s="16" t="s">
        <v>24</v>
      </c>
      <c r="D207" s="17">
        <v>0.432</v>
      </c>
      <c r="E207" s="18">
        <f>'HARGA BAHAN'!E11</f>
        <v>180000</v>
      </c>
      <c r="F207" s="74">
        <f>+D207*E207</f>
        <v>77760</v>
      </c>
    </row>
    <row r="208" spans="1:6" ht="14.4" thickBot="1" x14ac:dyDescent="0.3">
      <c r="A208" s="28"/>
      <c r="B208" s="44"/>
      <c r="C208" s="44"/>
      <c r="D208" s="45" t="s">
        <v>10</v>
      </c>
      <c r="E208" s="44"/>
      <c r="F208" s="33">
        <f>SUM(F206:F207)</f>
        <v>413760</v>
      </c>
    </row>
    <row r="209" spans="1:6" x14ac:dyDescent="0.25">
      <c r="A209" s="34" t="s">
        <v>11</v>
      </c>
      <c r="B209" s="35" t="s">
        <v>78</v>
      </c>
      <c r="C209" s="36"/>
      <c r="D209" s="36"/>
      <c r="E209" s="36"/>
      <c r="F209" s="37"/>
    </row>
    <row r="210" spans="1:6" ht="14.4" thickBot="1" x14ac:dyDescent="0.3">
      <c r="A210" s="46"/>
      <c r="B210" s="47"/>
      <c r="C210" s="48"/>
      <c r="D210" s="49"/>
      <c r="E210" s="50"/>
      <c r="F210" s="51"/>
    </row>
    <row r="211" spans="1:6" ht="14.4" thickBot="1" x14ac:dyDescent="0.3">
      <c r="A211" s="28"/>
      <c r="B211" s="29"/>
      <c r="C211" s="30"/>
      <c r="D211" s="31" t="s">
        <v>12</v>
      </c>
      <c r="E211" s="32"/>
      <c r="F211" s="33">
        <f>SUM(F210)</f>
        <v>0</v>
      </c>
    </row>
    <row r="212" spans="1:6" x14ac:dyDescent="0.25">
      <c r="A212" s="34" t="s">
        <v>13</v>
      </c>
      <c r="B212" s="35" t="s">
        <v>14</v>
      </c>
      <c r="C212" s="52"/>
      <c r="D212" s="52"/>
      <c r="E212" s="53"/>
      <c r="F212" s="54">
        <f>+F204+F208+F211</f>
        <v>587505</v>
      </c>
    </row>
    <row r="213" spans="1:6" x14ac:dyDescent="0.25">
      <c r="A213" s="10" t="s">
        <v>15</v>
      </c>
      <c r="B213" s="11" t="s">
        <v>51</v>
      </c>
      <c r="C213" s="55"/>
      <c r="D213" s="55"/>
      <c r="E213" s="56"/>
      <c r="F213" s="57">
        <f>F212*15%</f>
        <v>88125.75</v>
      </c>
    </row>
    <row r="214" spans="1:6" ht="14.4" thickBot="1" x14ac:dyDescent="0.3">
      <c r="A214" s="58" t="s">
        <v>16</v>
      </c>
      <c r="B214" s="59" t="s">
        <v>17</v>
      </c>
      <c r="C214" s="60"/>
      <c r="D214" s="60"/>
      <c r="E214" s="61"/>
      <c r="F214" s="62">
        <f>SUM(F212:F213)</f>
        <v>675630.75</v>
      </c>
    </row>
    <row r="216" spans="1:6" ht="16.2" thickBot="1" x14ac:dyDescent="0.3">
      <c r="A216" s="71" t="s">
        <v>368</v>
      </c>
      <c r="B216" s="2" t="s">
        <v>84</v>
      </c>
      <c r="C216" s="3"/>
      <c r="D216" s="3"/>
      <c r="E216" s="3"/>
      <c r="F216" s="3"/>
    </row>
    <row r="217" spans="1:6" ht="28.2" thickBot="1" x14ac:dyDescent="0.3">
      <c r="A217" s="4" t="s">
        <v>2</v>
      </c>
      <c r="B217" s="5" t="s">
        <v>3</v>
      </c>
      <c r="C217" s="5" t="s">
        <v>0</v>
      </c>
      <c r="D217" s="5" t="s">
        <v>4</v>
      </c>
      <c r="E217" s="5" t="s">
        <v>5</v>
      </c>
      <c r="F217" s="6" t="s">
        <v>6</v>
      </c>
    </row>
    <row r="218" spans="1:6" x14ac:dyDescent="0.25">
      <c r="A218" s="7">
        <v>1</v>
      </c>
      <c r="B218" s="8">
        <v>2</v>
      </c>
      <c r="C218" s="8">
        <v>3</v>
      </c>
      <c r="D218" s="8">
        <v>4</v>
      </c>
      <c r="E218" s="8">
        <v>5</v>
      </c>
      <c r="F218" s="9">
        <v>6</v>
      </c>
    </row>
    <row r="219" spans="1:6" x14ac:dyDescent="0.25">
      <c r="A219" s="10" t="s">
        <v>1</v>
      </c>
      <c r="B219" s="11" t="s">
        <v>76</v>
      </c>
      <c r="C219" s="12"/>
      <c r="D219" s="12"/>
      <c r="E219" s="12"/>
      <c r="F219" s="13"/>
    </row>
    <row r="220" spans="1:6" x14ac:dyDescent="0.25">
      <c r="A220" s="14"/>
      <c r="B220" s="15" t="s">
        <v>40</v>
      </c>
      <c r="C220" s="16" t="s">
        <v>7</v>
      </c>
      <c r="D220" s="17">
        <v>1.2</v>
      </c>
      <c r="E220" s="18">
        <f>'HARGA BAHAN'!E4</f>
        <v>125000</v>
      </c>
      <c r="F220" s="19">
        <f>+D220*E220</f>
        <v>150000</v>
      </c>
    </row>
    <row r="221" spans="1:6" x14ac:dyDescent="0.25">
      <c r="A221" s="14"/>
      <c r="B221" s="20" t="s">
        <v>86</v>
      </c>
      <c r="C221" s="21" t="s">
        <v>7</v>
      </c>
      <c r="D221" s="22">
        <v>0.2</v>
      </c>
      <c r="E221" s="18">
        <f>'HARGA BAHAN'!E5</f>
        <v>160000</v>
      </c>
      <c r="F221" s="19">
        <f>+D221*E221</f>
        <v>32000</v>
      </c>
    </row>
    <row r="222" spans="1:6" x14ac:dyDescent="0.25">
      <c r="A222" s="14"/>
      <c r="B222" s="15" t="s">
        <v>87</v>
      </c>
      <c r="C222" s="16" t="s">
        <v>7</v>
      </c>
      <c r="D222" s="17">
        <v>0.02</v>
      </c>
      <c r="E222" s="18">
        <f>'HARGA BAHAN'!E6</f>
        <v>180000</v>
      </c>
      <c r="F222" s="19">
        <f>+D222*E222</f>
        <v>3600</v>
      </c>
    </row>
    <row r="223" spans="1:6" ht="14.4" thickBot="1" x14ac:dyDescent="0.3">
      <c r="A223" s="24"/>
      <c r="B223" s="25" t="s">
        <v>42</v>
      </c>
      <c r="C223" s="26" t="s">
        <v>7</v>
      </c>
      <c r="D223" s="27">
        <v>0.06</v>
      </c>
      <c r="E223" s="18">
        <f>'HARGA BAHAN'!E7</f>
        <v>175000</v>
      </c>
      <c r="F223" s="19">
        <f>+D223*E223</f>
        <v>10500</v>
      </c>
    </row>
    <row r="224" spans="1:6" ht="14.4" thickBot="1" x14ac:dyDescent="0.3">
      <c r="A224" s="28"/>
      <c r="B224" s="29"/>
      <c r="C224" s="30"/>
      <c r="D224" s="31" t="s">
        <v>8</v>
      </c>
      <c r="E224" s="32"/>
      <c r="F224" s="33">
        <f>SUM(F220:F223)</f>
        <v>196100</v>
      </c>
    </row>
    <row r="225" spans="1:6" x14ac:dyDescent="0.25">
      <c r="A225" s="34" t="s">
        <v>9</v>
      </c>
      <c r="B225" s="35" t="s">
        <v>77</v>
      </c>
      <c r="C225" s="36"/>
      <c r="D225" s="36"/>
      <c r="E225" s="36"/>
      <c r="F225" s="37"/>
    </row>
    <row r="226" spans="1:6" x14ac:dyDescent="0.25">
      <c r="A226" s="38"/>
      <c r="B226" s="39" t="s">
        <v>85</v>
      </c>
      <c r="C226" s="40" t="s">
        <v>21</v>
      </c>
      <c r="D226" s="75">
        <v>230</v>
      </c>
      <c r="E226" s="42">
        <f>'HARGA BAHAN'!E13</f>
        <v>2000</v>
      </c>
      <c r="F226" s="43">
        <f>+D226*E226</f>
        <v>460000</v>
      </c>
    </row>
    <row r="227" spans="1:6" x14ac:dyDescent="0.25">
      <c r="A227" s="68"/>
      <c r="B227" s="20" t="s">
        <v>89</v>
      </c>
      <c r="C227" s="21" t="s">
        <v>21</v>
      </c>
      <c r="D227" s="76">
        <v>893</v>
      </c>
      <c r="E227" s="23">
        <f>'HARGA BAHAN'!E16</f>
        <v>150</v>
      </c>
      <c r="F227" s="19">
        <f>+D227*E227</f>
        <v>133950</v>
      </c>
    </row>
    <row r="228" spans="1:6" x14ac:dyDescent="0.25">
      <c r="A228" s="68"/>
      <c r="B228" s="20" t="s">
        <v>90</v>
      </c>
      <c r="C228" s="21" t="s">
        <v>21</v>
      </c>
      <c r="D228" s="76">
        <v>1027</v>
      </c>
      <c r="E228" s="23">
        <f>'HARGA BAHAN'!E18</f>
        <v>270</v>
      </c>
      <c r="F228" s="19">
        <f>+D228*E228</f>
        <v>277290</v>
      </c>
    </row>
    <row r="229" spans="1:6" ht="14.4" thickBot="1" x14ac:dyDescent="0.3">
      <c r="A229" s="14"/>
      <c r="B229" s="15" t="s">
        <v>92</v>
      </c>
      <c r="C229" s="16" t="s">
        <v>88</v>
      </c>
      <c r="D229" s="77">
        <v>200</v>
      </c>
      <c r="E229" s="18">
        <f>'HARGA BAHAN'!E19</f>
        <v>120</v>
      </c>
      <c r="F229" s="74">
        <f>+D229*E229</f>
        <v>24000</v>
      </c>
    </row>
    <row r="230" spans="1:6" ht="14.4" thickBot="1" x14ac:dyDescent="0.3">
      <c r="A230" s="28"/>
      <c r="B230" s="44"/>
      <c r="C230" s="44"/>
      <c r="D230" s="45" t="s">
        <v>10</v>
      </c>
      <c r="E230" s="44"/>
      <c r="F230" s="33">
        <f>SUM(F226:F229)</f>
        <v>895240</v>
      </c>
    </row>
    <row r="231" spans="1:6" x14ac:dyDescent="0.25">
      <c r="A231" s="34" t="s">
        <v>11</v>
      </c>
      <c r="B231" s="35" t="s">
        <v>78</v>
      </c>
      <c r="C231" s="36"/>
      <c r="D231" s="36"/>
      <c r="E231" s="36"/>
      <c r="F231" s="37"/>
    </row>
    <row r="232" spans="1:6" ht="14.4" thickBot="1" x14ac:dyDescent="0.3">
      <c r="A232" s="46"/>
      <c r="B232" s="47"/>
      <c r="C232" s="48"/>
      <c r="D232" s="49"/>
      <c r="E232" s="50"/>
      <c r="F232" s="51"/>
    </row>
    <row r="233" spans="1:6" ht="14.4" thickBot="1" x14ac:dyDescent="0.3">
      <c r="A233" s="28"/>
      <c r="B233" s="29"/>
      <c r="C233" s="30"/>
      <c r="D233" s="31" t="s">
        <v>12</v>
      </c>
      <c r="E233" s="32"/>
      <c r="F233" s="33">
        <f>SUM(F232)</f>
        <v>0</v>
      </c>
    </row>
    <row r="234" spans="1:6" x14ac:dyDescent="0.25">
      <c r="A234" s="34" t="s">
        <v>13</v>
      </c>
      <c r="B234" s="35" t="s">
        <v>14</v>
      </c>
      <c r="C234" s="52"/>
      <c r="D234" s="52"/>
      <c r="E234" s="53"/>
      <c r="F234" s="54">
        <f>+F224+F230+F233</f>
        <v>1091340</v>
      </c>
    </row>
    <row r="235" spans="1:6" x14ac:dyDescent="0.25">
      <c r="A235" s="10" t="s">
        <v>15</v>
      </c>
      <c r="B235" s="11" t="s">
        <v>51</v>
      </c>
      <c r="C235" s="55"/>
      <c r="D235" s="55"/>
      <c r="E235" s="56"/>
      <c r="F235" s="57">
        <f>F234*15%</f>
        <v>163701</v>
      </c>
    </row>
    <row r="236" spans="1:6" ht="14.4" thickBot="1" x14ac:dyDescent="0.3">
      <c r="A236" s="58" t="s">
        <v>16</v>
      </c>
      <c r="B236" s="59" t="s">
        <v>17</v>
      </c>
      <c r="C236" s="60"/>
      <c r="D236" s="60"/>
      <c r="E236" s="61"/>
      <c r="F236" s="62">
        <f>SUM(F234:F235)</f>
        <v>1255041</v>
      </c>
    </row>
    <row r="238" spans="1:6" ht="14.4" thickBot="1" x14ac:dyDescent="0.3">
      <c r="A238" s="71" t="s">
        <v>62</v>
      </c>
      <c r="B238" s="2" t="s">
        <v>93</v>
      </c>
      <c r="C238" s="3"/>
      <c r="D238" s="3"/>
      <c r="E238" s="3"/>
      <c r="F238" s="3"/>
    </row>
    <row r="239" spans="1:6" ht="28.2" thickBot="1" x14ac:dyDescent="0.3">
      <c r="A239" s="4" t="s">
        <v>2</v>
      </c>
      <c r="B239" s="5" t="s">
        <v>3</v>
      </c>
      <c r="C239" s="5" t="s">
        <v>0</v>
      </c>
      <c r="D239" s="5" t="s">
        <v>4</v>
      </c>
      <c r="E239" s="5" t="s">
        <v>5</v>
      </c>
      <c r="F239" s="6" t="s">
        <v>6</v>
      </c>
    </row>
    <row r="240" spans="1:6" x14ac:dyDescent="0.25">
      <c r="A240" s="7">
        <v>1</v>
      </c>
      <c r="B240" s="8">
        <v>2</v>
      </c>
      <c r="C240" s="8">
        <v>3</v>
      </c>
      <c r="D240" s="8">
        <v>4</v>
      </c>
      <c r="E240" s="8">
        <v>5</v>
      </c>
      <c r="F240" s="9">
        <v>6</v>
      </c>
    </row>
    <row r="241" spans="1:6" x14ac:dyDescent="0.25">
      <c r="A241" s="10" t="s">
        <v>1</v>
      </c>
      <c r="B241" s="11" t="s">
        <v>76</v>
      </c>
      <c r="C241" s="12"/>
      <c r="D241" s="12"/>
      <c r="E241" s="12"/>
      <c r="F241" s="13"/>
    </row>
    <row r="242" spans="1:6" x14ac:dyDescent="0.25">
      <c r="A242" s="14"/>
      <c r="B242" s="15" t="s">
        <v>40</v>
      </c>
      <c r="C242" s="16" t="s">
        <v>7</v>
      </c>
      <c r="D242" s="17">
        <v>7.0000000000000007E-2</v>
      </c>
      <c r="E242" s="18">
        <f>'HARGA BAHAN'!E4</f>
        <v>125000</v>
      </c>
      <c r="F242" s="19">
        <f>+D242*E242</f>
        <v>8750</v>
      </c>
    </row>
    <row r="243" spans="1:6" x14ac:dyDescent="0.25">
      <c r="A243" s="14"/>
      <c r="B243" s="20" t="s">
        <v>86</v>
      </c>
      <c r="C243" s="21" t="s">
        <v>7</v>
      </c>
      <c r="D243" s="22">
        <v>7.0000000000000007E-2</v>
      </c>
      <c r="E243" s="18">
        <f>'HARGA BAHAN'!E5</f>
        <v>160000</v>
      </c>
      <c r="F243" s="19">
        <f>+D243*E243</f>
        <v>11200.000000000002</v>
      </c>
    </row>
    <row r="244" spans="1:6" x14ac:dyDescent="0.25">
      <c r="A244" s="14"/>
      <c r="B244" s="15" t="s">
        <v>87</v>
      </c>
      <c r="C244" s="16" t="s">
        <v>7</v>
      </c>
      <c r="D244" s="17">
        <v>7.0000000000000001E-3</v>
      </c>
      <c r="E244" s="18">
        <f>'HARGA BAHAN'!E6</f>
        <v>180000</v>
      </c>
      <c r="F244" s="19">
        <f>+D244*E244</f>
        <v>1260</v>
      </c>
    </row>
    <row r="245" spans="1:6" ht="14.4" thickBot="1" x14ac:dyDescent="0.3">
      <c r="A245" s="24"/>
      <c r="B245" s="25" t="s">
        <v>42</v>
      </c>
      <c r="C245" s="26" t="s">
        <v>7</v>
      </c>
      <c r="D245" s="27">
        <v>4.0000000000000001E-3</v>
      </c>
      <c r="E245" s="18">
        <f>'HARGA BAHAN'!E7</f>
        <v>175000</v>
      </c>
      <c r="F245" s="19">
        <f>+D245*E245</f>
        <v>700</v>
      </c>
    </row>
    <row r="246" spans="1:6" ht="14.4" thickBot="1" x14ac:dyDescent="0.3">
      <c r="A246" s="28"/>
      <c r="B246" s="29"/>
      <c r="C246" s="30"/>
      <c r="D246" s="31" t="s">
        <v>8</v>
      </c>
      <c r="E246" s="32"/>
      <c r="F246" s="33">
        <f>SUM(F242:F245)</f>
        <v>21910</v>
      </c>
    </row>
    <row r="247" spans="1:6" x14ac:dyDescent="0.25">
      <c r="A247" s="34" t="s">
        <v>9</v>
      </c>
      <c r="B247" s="35" t="s">
        <v>77</v>
      </c>
      <c r="C247" s="36"/>
      <c r="D247" s="36"/>
      <c r="E247" s="36"/>
      <c r="F247" s="37"/>
    </row>
    <row r="248" spans="1:6" x14ac:dyDescent="0.25">
      <c r="A248" s="38"/>
      <c r="B248" s="39" t="s">
        <v>94</v>
      </c>
      <c r="C248" s="40" t="s">
        <v>21</v>
      </c>
      <c r="D248" s="75">
        <v>10.5</v>
      </c>
      <c r="E248" s="42">
        <f>'HARGA BAHAN'!E20</f>
        <v>18000</v>
      </c>
      <c r="F248" s="43">
        <f>+D248*E248</f>
        <v>189000</v>
      </c>
    </row>
    <row r="249" spans="1:6" ht="14.4" thickBot="1" x14ac:dyDescent="0.3">
      <c r="A249" s="68"/>
      <c r="B249" s="20" t="s">
        <v>95</v>
      </c>
      <c r="C249" s="21" t="s">
        <v>21</v>
      </c>
      <c r="D249" s="76">
        <v>0.15</v>
      </c>
      <c r="E249" s="23">
        <f>'HARGA BAHAN'!E22</f>
        <v>30000</v>
      </c>
      <c r="F249" s="19">
        <f>+D249*E249</f>
        <v>4500</v>
      </c>
    </row>
    <row r="250" spans="1:6" ht="14.4" thickBot="1" x14ac:dyDescent="0.3">
      <c r="A250" s="28"/>
      <c r="B250" s="44"/>
      <c r="C250" s="44"/>
      <c r="D250" s="45" t="s">
        <v>10</v>
      </c>
      <c r="E250" s="44"/>
      <c r="F250" s="33">
        <f>SUM(F248:F249)</f>
        <v>193500</v>
      </c>
    </row>
    <row r="251" spans="1:6" x14ac:dyDescent="0.25">
      <c r="A251" s="34" t="s">
        <v>11</v>
      </c>
      <c r="B251" s="35" t="s">
        <v>78</v>
      </c>
      <c r="C251" s="36"/>
      <c r="D251" s="36"/>
      <c r="E251" s="36"/>
      <c r="F251" s="37"/>
    </row>
    <row r="252" spans="1:6" ht="14.4" thickBot="1" x14ac:dyDescent="0.3">
      <c r="A252" s="46"/>
      <c r="B252" s="47"/>
      <c r="C252" s="48"/>
      <c r="D252" s="49"/>
      <c r="E252" s="50"/>
      <c r="F252" s="51"/>
    </row>
    <row r="253" spans="1:6" ht="14.4" thickBot="1" x14ac:dyDescent="0.3">
      <c r="A253" s="28"/>
      <c r="B253" s="29"/>
      <c r="C253" s="30"/>
      <c r="D253" s="31" t="s">
        <v>12</v>
      </c>
      <c r="E253" s="32"/>
      <c r="F253" s="33">
        <f>SUM(F252)</f>
        <v>0</v>
      </c>
    </row>
    <row r="254" spans="1:6" x14ac:dyDescent="0.25">
      <c r="A254" s="34" t="s">
        <v>13</v>
      </c>
      <c r="B254" s="35" t="s">
        <v>14</v>
      </c>
      <c r="C254" s="52"/>
      <c r="D254" s="52"/>
      <c r="E254" s="53"/>
      <c r="F254" s="54">
        <f>+F246+F250+F253</f>
        <v>215410</v>
      </c>
    </row>
    <row r="255" spans="1:6" x14ac:dyDescent="0.25">
      <c r="A255" s="10" t="s">
        <v>15</v>
      </c>
      <c r="B255" s="11" t="s">
        <v>51</v>
      </c>
      <c r="C255" s="55"/>
      <c r="D255" s="55"/>
      <c r="E255" s="56"/>
      <c r="F255" s="57">
        <f>F254*15%</f>
        <v>32311.5</v>
      </c>
    </row>
    <row r="256" spans="1:6" ht="14.4" thickBot="1" x14ac:dyDescent="0.3">
      <c r="A256" s="58" t="s">
        <v>16</v>
      </c>
      <c r="B256" s="59" t="s">
        <v>17</v>
      </c>
      <c r="C256" s="60"/>
      <c r="D256" s="60"/>
      <c r="E256" s="61"/>
      <c r="F256" s="62">
        <f>SUM(F254:F255)</f>
        <v>247721.5</v>
      </c>
    </row>
    <row r="257" spans="1:6" ht="14.4" thickBot="1" x14ac:dyDescent="0.3">
      <c r="A257" s="114"/>
      <c r="B257" s="115"/>
      <c r="C257" s="115"/>
      <c r="D257" s="115"/>
      <c r="E257" s="78" t="s">
        <v>97</v>
      </c>
      <c r="F257" s="62">
        <f>F256/10</f>
        <v>24772.15</v>
      </c>
    </row>
    <row r="259" spans="1:6" ht="16.2" thickBot="1" x14ac:dyDescent="0.3">
      <c r="A259" s="71" t="s">
        <v>63</v>
      </c>
      <c r="B259" s="2" t="s">
        <v>168</v>
      </c>
      <c r="C259" s="3"/>
      <c r="D259" s="3"/>
      <c r="E259" s="3"/>
      <c r="F259" s="3"/>
    </row>
    <row r="260" spans="1:6" ht="28.2" thickBot="1" x14ac:dyDescent="0.3">
      <c r="A260" s="4" t="s">
        <v>2</v>
      </c>
      <c r="B260" s="5" t="s">
        <v>3</v>
      </c>
      <c r="C260" s="5" t="s">
        <v>0</v>
      </c>
      <c r="D260" s="5" t="s">
        <v>4</v>
      </c>
      <c r="E260" s="5" t="s">
        <v>5</v>
      </c>
      <c r="F260" s="6" t="s">
        <v>6</v>
      </c>
    </row>
    <row r="261" spans="1:6" x14ac:dyDescent="0.25">
      <c r="A261" s="7">
        <v>1</v>
      </c>
      <c r="B261" s="8">
        <v>2</v>
      </c>
      <c r="C261" s="8">
        <v>3</v>
      </c>
      <c r="D261" s="8">
        <v>4</v>
      </c>
      <c r="E261" s="8">
        <v>5</v>
      </c>
      <c r="F261" s="9">
        <v>6</v>
      </c>
    </row>
    <row r="262" spans="1:6" x14ac:dyDescent="0.25">
      <c r="A262" s="10" t="s">
        <v>1</v>
      </c>
      <c r="B262" s="11" t="s">
        <v>76</v>
      </c>
      <c r="C262" s="12"/>
      <c r="D262" s="12"/>
      <c r="E262" s="12"/>
      <c r="F262" s="13"/>
    </row>
    <row r="263" spans="1:6" x14ac:dyDescent="0.25">
      <c r="A263" s="14"/>
      <c r="B263" s="15" t="s">
        <v>40</v>
      </c>
      <c r="C263" s="16" t="s">
        <v>7</v>
      </c>
      <c r="D263" s="17">
        <v>0.52</v>
      </c>
      <c r="E263" s="18">
        <f>'HARGA BAHAN'!E4</f>
        <v>125000</v>
      </c>
      <c r="F263" s="19">
        <f>+D263*E263</f>
        <v>65000</v>
      </c>
    </row>
    <row r="264" spans="1:6" x14ac:dyDescent="0.25">
      <c r="A264" s="14"/>
      <c r="B264" s="20" t="s">
        <v>86</v>
      </c>
      <c r="C264" s="21" t="s">
        <v>7</v>
      </c>
      <c r="D264" s="22">
        <v>0.26</v>
      </c>
      <c r="E264" s="18">
        <f>'HARGA BAHAN'!E5</f>
        <v>160000</v>
      </c>
      <c r="F264" s="19">
        <f>+D264*E264</f>
        <v>41600</v>
      </c>
    </row>
    <row r="265" spans="1:6" x14ac:dyDescent="0.25">
      <c r="A265" s="14"/>
      <c r="B265" s="15" t="s">
        <v>87</v>
      </c>
      <c r="C265" s="16" t="s">
        <v>7</v>
      </c>
      <c r="D265" s="17">
        <v>2.5999999999999999E-2</v>
      </c>
      <c r="E265" s="18">
        <f>'HARGA BAHAN'!E6</f>
        <v>180000</v>
      </c>
      <c r="F265" s="19">
        <f>+D265*E265</f>
        <v>4680</v>
      </c>
    </row>
    <row r="266" spans="1:6" ht="14.4" thickBot="1" x14ac:dyDescent="0.3">
      <c r="A266" s="24"/>
      <c r="B266" s="25" t="s">
        <v>42</v>
      </c>
      <c r="C266" s="26" t="s">
        <v>7</v>
      </c>
      <c r="D266" s="27">
        <v>2.5999999999999999E-2</v>
      </c>
      <c r="E266" s="18">
        <f>'HARGA BAHAN'!E7</f>
        <v>175000</v>
      </c>
      <c r="F266" s="19">
        <f>+D266*E266</f>
        <v>4550</v>
      </c>
    </row>
    <row r="267" spans="1:6" ht="14.4" thickBot="1" x14ac:dyDescent="0.3">
      <c r="A267" s="28"/>
      <c r="B267" s="29"/>
      <c r="C267" s="30"/>
      <c r="D267" s="31" t="s">
        <v>8</v>
      </c>
      <c r="E267" s="32"/>
      <c r="F267" s="33">
        <f>SUM(F263:F266)</f>
        <v>115830</v>
      </c>
    </row>
    <row r="268" spans="1:6" x14ac:dyDescent="0.25">
      <c r="A268" s="34" t="s">
        <v>9</v>
      </c>
      <c r="B268" s="35" t="s">
        <v>77</v>
      </c>
      <c r="C268" s="36"/>
      <c r="D268" s="36"/>
      <c r="E268" s="36"/>
      <c r="F268" s="37"/>
    </row>
    <row r="269" spans="1:6" ht="15.6" x14ac:dyDescent="0.25">
      <c r="A269" s="38"/>
      <c r="B269" s="39" t="s">
        <v>98</v>
      </c>
      <c r="C269" s="40" t="s">
        <v>24</v>
      </c>
      <c r="D269" s="75">
        <v>0.04</v>
      </c>
      <c r="E269" s="42">
        <f>'HARGA BAHAN'!E27</f>
        <v>5200000</v>
      </c>
      <c r="F269" s="43">
        <f>+D269*E269</f>
        <v>208000</v>
      </c>
    </row>
    <row r="270" spans="1:6" x14ac:dyDescent="0.25">
      <c r="A270" s="68"/>
      <c r="B270" s="20" t="s">
        <v>99</v>
      </c>
      <c r="C270" s="21" t="s">
        <v>21</v>
      </c>
      <c r="D270" s="76">
        <v>0.3</v>
      </c>
      <c r="E270" s="23">
        <f>'HARGA BAHAN'!E28</f>
        <v>25500</v>
      </c>
      <c r="F270" s="19">
        <f>+D270*E270</f>
        <v>7650</v>
      </c>
    </row>
    <row r="271" spans="1:6" ht="14.4" thickBot="1" x14ac:dyDescent="0.3">
      <c r="A271" s="68"/>
      <c r="B271" s="20" t="s">
        <v>100</v>
      </c>
      <c r="C271" s="21" t="s">
        <v>88</v>
      </c>
      <c r="D271" s="76">
        <v>0.1</v>
      </c>
      <c r="E271" s="23">
        <f>'HARGA BAHAN'!E29</f>
        <v>21000</v>
      </c>
      <c r="F271" s="19">
        <f>+D271*E271</f>
        <v>2100</v>
      </c>
    </row>
    <row r="272" spans="1:6" ht="14.4" thickBot="1" x14ac:dyDescent="0.3">
      <c r="A272" s="28"/>
      <c r="B272" s="44"/>
      <c r="C272" s="44"/>
      <c r="D272" s="45" t="s">
        <v>10</v>
      </c>
      <c r="E272" s="44"/>
      <c r="F272" s="33">
        <f>SUM(F269:F271)</f>
        <v>217750</v>
      </c>
    </row>
    <row r="273" spans="1:6" x14ac:dyDescent="0.25">
      <c r="A273" s="34" t="s">
        <v>11</v>
      </c>
      <c r="B273" s="35" t="s">
        <v>78</v>
      </c>
      <c r="C273" s="36"/>
      <c r="D273" s="36"/>
      <c r="E273" s="36"/>
      <c r="F273" s="37"/>
    </row>
    <row r="274" spans="1:6" ht="14.4" thickBot="1" x14ac:dyDescent="0.3">
      <c r="A274" s="46"/>
      <c r="B274" s="47"/>
      <c r="C274" s="48"/>
      <c r="D274" s="49"/>
      <c r="E274" s="50"/>
      <c r="F274" s="51"/>
    </row>
    <row r="275" spans="1:6" ht="14.4" thickBot="1" x14ac:dyDescent="0.3">
      <c r="A275" s="28"/>
      <c r="B275" s="29"/>
      <c r="C275" s="30"/>
      <c r="D275" s="31" t="s">
        <v>12</v>
      </c>
      <c r="E275" s="32"/>
      <c r="F275" s="33">
        <f>SUM(F274)</f>
        <v>0</v>
      </c>
    </row>
    <row r="276" spans="1:6" x14ac:dyDescent="0.25">
      <c r="A276" s="34" t="s">
        <v>13</v>
      </c>
      <c r="B276" s="35" t="s">
        <v>14</v>
      </c>
      <c r="C276" s="52"/>
      <c r="D276" s="52"/>
      <c r="E276" s="53"/>
      <c r="F276" s="54">
        <f>+F267+F272+F275</f>
        <v>333580</v>
      </c>
    </row>
    <row r="277" spans="1:6" x14ac:dyDescent="0.25">
      <c r="A277" s="10" t="s">
        <v>15</v>
      </c>
      <c r="B277" s="11" t="s">
        <v>51</v>
      </c>
      <c r="C277" s="55"/>
      <c r="D277" s="55"/>
      <c r="E277" s="56"/>
      <c r="F277" s="57">
        <f>F276*15%</f>
        <v>50037</v>
      </c>
    </row>
    <row r="278" spans="1:6" ht="14.4" thickBot="1" x14ac:dyDescent="0.3">
      <c r="A278" s="58" t="s">
        <v>16</v>
      </c>
      <c r="B278" s="59" t="s">
        <v>17</v>
      </c>
      <c r="C278" s="60"/>
      <c r="D278" s="60"/>
      <c r="E278" s="61"/>
      <c r="F278" s="62">
        <f>SUM(F276:F277)</f>
        <v>383617</v>
      </c>
    </row>
    <row r="279" spans="1:6" ht="14.4" thickBot="1" x14ac:dyDescent="0.3">
      <c r="A279" s="152"/>
      <c r="B279" s="153" t="s">
        <v>169</v>
      </c>
      <c r="C279" s="31"/>
      <c r="D279" s="31"/>
      <c r="E279" s="31"/>
      <c r="F279" s="154">
        <f>F278/2</f>
        <v>191808.5</v>
      </c>
    </row>
    <row r="281" spans="1:6" ht="16.2" thickBot="1" x14ac:dyDescent="0.3">
      <c r="A281" s="71" t="s">
        <v>229</v>
      </c>
      <c r="B281" s="2" t="s">
        <v>230</v>
      </c>
      <c r="C281" s="3"/>
      <c r="D281" s="3"/>
      <c r="E281" s="3"/>
      <c r="F281" s="3"/>
    </row>
    <row r="282" spans="1:6" ht="28.2" thickBot="1" x14ac:dyDescent="0.3">
      <c r="A282" s="4" t="s">
        <v>2</v>
      </c>
      <c r="B282" s="5" t="s">
        <v>3</v>
      </c>
      <c r="C282" s="5" t="s">
        <v>0</v>
      </c>
      <c r="D282" s="5" t="s">
        <v>4</v>
      </c>
      <c r="E282" s="5" t="s">
        <v>5</v>
      </c>
      <c r="F282" s="6" t="s">
        <v>6</v>
      </c>
    </row>
    <row r="283" spans="1:6" x14ac:dyDescent="0.25">
      <c r="A283" s="7">
        <v>1</v>
      </c>
      <c r="B283" s="8">
        <v>2</v>
      </c>
      <c r="C283" s="8">
        <v>3</v>
      </c>
      <c r="D283" s="8">
        <v>4</v>
      </c>
      <c r="E283" s="8">
        <v>5</v>
      </c>
      <c r="F283" s="9">
        <v>6</v>
      </c>
    </row>
    <row r="284" spans="1:6" x14ac:dyDescent="0.25">
      <c r="A284" s="10" t="s">
        <v>1</v>
      </c>
      <c r="B284" s="11" t="s">
        <v>76</v>
      </c>
      <c r="C284" s="12"/>
      <c r="D284" s="12"/>
      <c r="E284" s="12"/>
      <c r="F284" s="13"/>
    </row>
    <row r="285" spans="1:6" x14ac:dyDescent="0.25">
      <c r="A285" s="14"/>
      <c r="B285" s="15" t="s">
        <v>40</v>
      </c>
      <c r="C285" s="16" t="s">
        <v>7</v>
      </c>
      <c r="D285" s="17">
        <v>1.65</v>
      </c>
      <c r="E285" s="18">
        <f>'HARGA BAHAN'!E4</f>
        <v>125000</v>
      </c>
      <c r="F285" s="19">
        <f>+D285*E285</f>
        <v>206250</v>
      </c>
    </row>
    <row r="286" spans="1:6" x14ac:dyDescent="0.25">
      <c r="A286" s="14"/>
      <c r="B286" s="20" t="s">
        <v>86</v>
      </c>
      <c r="C286" s="21" t="s">
        <v>7</v>
      </c>
      <c r="D286" s="22">
        <v>0.27500000000000002</v>
      </c>
      <c r="E286" s="18">
        <f>'HARGA BAHAN'!E5</f>
        <v>160000</v>
      </c>
      <c r="F286" s="19">
        <f>+D286*E286</f>
        <v>44000</v>
      </c>
    </row>
    <row r="287" spans="1:6" x14ac:dyDescent="0.25">
      <c r="A287" s="14"/>
      <c r="B287" s="15" t="s">
        <v>87</v>
      </c>
      <c r="C287" s="16" t="s">
        <v>7</v>
      </c>
      <c r="D287" s="17">
        <v>2.8000000000000001E-2</v>
      </c>
      <c r="E287" s="18">
        <f>'HARGA BAHAN'!E6</f>
        <v>180000</v>
      </c>
      <c r="F287" s="19">
        <f>+D287*E287</f>
        <v>5040</v>
      </c>
    </row>
    <row r="288" spans="1:6" ht="14.4" thickBot="1" x14ac:dyDescent="0.3">
      <c r="A288" s="24"/>
      <c r="B288" s="25" t="s">
        <v>42</v>
      </c>
      <c r="C288" s="26" t="s">
        <v>7</v>
      </c>
      <c r="D288" s="27">
        <v>8.3000000000000004E-2</v>
      </c>
      <c r="E288" s="18">
        <f>'HARGA BAHAN'!E7</f>
        <v>175000</v>
      </c>
      <c r="F288" s="19">
        <f>+D288*E288</f>
        <v>14525</v>
      </c>
    </row>
    <row r="289" spans="1:6" ht="14.4" thickBot="1" x14ac:dyDescent="0.3">
      <c r="A289" s="28"/>
      <c r="B289" s="29"/>
      <c r="C289" s="30"/>
      <c r="D289" s="31" t="s">
        <v>8</v>
      </c>
      <c r="E289" s="32"/>
      <c r="F289" s="33">
        <f>SUM(F285:F288)</f>
        <v>269815</v>
      </c>
    </row>
    <row r="290" spans="1:6" x14ac:dyDescent="0.25">
      <c r="A290" s="34" t="s">
        <v>9</v>
      </c>
      <c r="B290" s="35" t="s">
        <v>77</v>
      </c>
      <c r="C290" s="36"/>
      <c r="D290" s="36"/>
      <c r="E290" s="36"/>
      <c r="F290" s="37"/>
    </row>
    <row r="291" spans="1:6" x14ac:dyDescent="0.25">
      <c r="A291" s="38"/>
      <c r="B291" s="39" t="s">
        <v>85</v>
      </c>
      <c r="C291" s="40" t="s">
        <v>21</v>
      </c>
      <c r="D291" s="75">
        <v>371</v>
      </c>
      <c r="E291" s="42">
        <f>'HARGA BAHAN'!E13</f>
        <v>2000</v>
      </c>
      <c r="F291" s="43">
        <f>+D291*E291</f>
        <v>742000</v>
      </c>
    </row>
    <row r="292" spans="1:6" x14ac:dyDescent="0.25">
      <c r="A292" s="68"/>
      <c r="B292" s="20" t="s">
        <v>89</v>
      </c>
      <c r="C292" s="21" t="s">
        <v>21</v>
      </c>
      <c r="D292" s="76">
        <v>698</v>
      </c>
      <c r="E292" s="23">
        <f>'HARGA BAHAN'!E16</f>
        <v>150</v>
      </c>
      <c r="F292" s="19">
        <f>+D292*E292</f>
        <v>104700</v>
      </c>
    </row>
    <row r="293" spans="1:6" x14ac:dyDescent="0.25">
      <c r="A293" s="68"/>
      <c r="B293" s="20" t="s">
        <v>90</v>
      </c>
      <c r="C293" s="21" t="s">
        <v>21</v>
      </c>
      <c r="D293" s="76">
        <v>1047</v>
      </c>
      <c r="E293" s="23">
        <f>'HARGA BAHAN'!E18</f>
        <v>270</v>
      </c>
      <c r="F293" s="19">
        <f>+D293*E293</f>
        <v>282690</v>
      </c>
    </row>
    <row r="294" spans="1:6" ht="14.4" thickBot="1" x14ac:dyDescent="0.3">
      <c r="A294" s="14"/>
      <c r="B294" s="15" t="s">
        <v>92</v>
      </c>
      <c r="C294" s="16" t="s">
        <v>88</v>
      </c>
      <c r="D294" s="77">
        <v>215</v>
      </c>
      <c r="E294" s="18">
        <f>'HARGA BAHAN'!E19</f>
        <v>120</v>
      </c>
      <c r="F294" s="74">
        <f>+D294*E294</f>
        <v>25800</v>
      </c>
    </row>
    <row r="295" spans="1:6" ht="14.4" thickBot="1" x14ac:dyDescent="0.3">
      <c r="A295" s="28"/>
      <c r="B295" s="44"/>
      <c r="C295" s="44"/>
      <c r="D295" s="45" t="s">
        <v>10</v>
      </c>
      <c r="E295" s="44"/>
      <c r="F295" s="33">
        <f>SUM(F291:F294)</f>
        <v>1155190</v>
      </c>
    </row>
    <row r="296" spans="1:6" x14ac:dyDescent="0.25">
      <c r="A296" s="34" t="s">
        <v>11</v>
      </c>
      <c r="B296" s="35" t="s">
        <v>78</v>
      </c>
      <c r="C296" s="36"/>
      <c r="D296" s="36"/>
      <c r="E296" s="36"/>
      <c r="F296" s="37"/>
    </row>
    <row r="297" spans="1:6" ht="14.4" thickBot="1" x14ac:dyDescent="0.3">
      <c r="A297" s="46"/>
      <c r="B297" s="47"/>
      <c r="C297" s="48"/>
      <c r="D297" s="49"/>
      <c r="E297" s="50"/>
      <c r="F297" s="51"/>
    </row>
    <row r="298" spans="1:6" ht="14.4" thickBot="1" x14ac:dyDescent="0.3">
      <c r="A298" s="28"/>
      <c r="B298" s="29"/>
      <c r="C298" s="30"/>
      <c r="D298" s="31" t="s">
        <v>12</v>
      </c>
      <c r="E298" s="32"/>
      <c r="F298" s="33">
        <f>SUM(F297)</f>
        <v>0</v>
      </c>
    </row>
    <row r="299" spans="1:6" x14ac:dyDescent="0.25">
      <c r="A299" s="34" t="s">
        <v>13</v>
      </c>
      <c r="B299" s="35" t="s">
        <v>14</v>
      </c>
      <c r="C299" s="52"/>
      <c r="D299" s="52"/>
      <c r="E299" s="53"/>
      <c r="F299" s="54">
        <f>+F289+F295+F298</f>
        <v>1425005</v>
      </c>
    </row>
    <row r="300" spans="1:6" x14ac:dyDescent="0.25">
      <c r="A300" s="10" t="s">
        <v>15</v>
      </c>
      <c r="B300" s="11" t="s">
        <v>51</v>
      </c>
      <c r="C300" s="55"/>
      <c r="D300" s="55"/>
      <c r="E300" s="56"/>
      <c r="F300" s="57">
        <f>F299*15%</f>
        <v>213750.75</v>
      </c>
    </row>
    <row r="301" spans="1:6" ht="14.4" thickBot="1" x14ac:dyDescent="0.3">
      <c r="A301" s="58" t="s">
        <v>16</v>
      </c>
      <c r="B301" s="59" t="s">
        <v>17</v>
      </c>
      <c r="C301" s="60"/>
      <c r="D301" s="60"/>
      <c r="E301" s="61"/>
      <c r="F301" s="62">
        <f>SUM(F299:F300)</f>
        <v>1638755.75</v>
      </c>
    </row>
    <row r="303" spans="1:6" ht="14.4" thickBot="1" x14ac:dyDescent="0.3">
      <c r="A303" s="160" t="s">
        <v>330</v>
      </c>
      <c r="B303" s="161" t="s">
        <v>334</v>
      </c>
      <c r="C303" s="162"/>
      <c r="D303" s="162"/>
      <c r="E303" s="162"/>
      <c r="F303" s="162"/>
    </row>
    <row r="304" spans="1:6" ht="28.2" thickBot="1" x14ac:dyDescent="0.3">
      <c r="A304" s="163" t="s">
        <v>2</v>
      </c>
      <c r="B304" s="164" t="s">
        <v>3</v>
      </c>
      <c r="C304" s="164" t="s">
        <v>0</v>
      </c>
      <c r="D304" s="164" t="s">
        <v>4</v>
      </c>
      <c r="E304" s="164" t="s">
        <v>5</v>
      </c>
      <c r="F304" s="165" t="s">
        <v>6</v>
      </c>
    </row>
    <row r="305" spans="1:6" x14ac:dyDescent="0.25">
      <c r="A305" s="166">
        <v>1</v>
      </c>
      <c r="B305" s="167">
        <v>2</v>
      </c>
      <c r="C305" s="167">
        <v>3</v>
      </c>
      <c r="D305" s="167">
        <v>4</v>
      </c>
      <c r="E305" s="167">
        <v>5</v>
      </c>
      <c r="F305" s="168">
        <v>6</v>
      </c>
    </row>
    <row r="306" spans="1:6" x14ac:dyDescent="0.25">
      <c r="A306" s="169" t="s">
        <v>1</v>
      </c>
      <c r="B306" s="170" t="s">
        <v>76</v>
      </c>
      <c r="C306" s="171"/>
      <c r="D306" s="171"/>
      <c r="E306" s="171"/>
      <c r="F306" s="172"/>
    </row>
    <row r="307" spans="1:6" x14ac:dyDescent="0.25">
      <c r="A307" s="173"/>
      <c r="B307" s="174" t="s">
        <v>40</v>
      </c>
      <c r="C307" s="175" t="s">
        <v>7</v>
      </c>
      <c r="D307" s="176">
        <v>0.1</v>
      </c>
      <c r="E307" s="177">
        <f>'HARGA BAHAN'!E4</f>
        <v>125000</v>
      </c>
      <c r="F307" s="178">
        <f>+D307*E307</f>
        <v>12500</v>
      </c>
    </row>
    <row r="308" spans="1:6" x14ac:dyDescent="0.25">
      <c r="A308" s="173"/>
      <c r="B308" s="179" t="s">
        <v>332</v>
      </c>
      <c r="C308" s="180" t="s">
        <v>7</v>
      </c>
      <c r="D308" s="181">
        <v>0.1</v>
      </c>
      <c r="E308" s="177">
        <f>'HARGA BAHAN'!E5</f>
        <v>160000</v>
      </c>
      <c r="F308" s="178">
        <f>+D308*E308</f>
        <v>16000</v>
      </c>
    </row>
    <row r="309" spans="1:6" x14ac:dyDescent="0.25">
      <c r="A309" s="173"/>
      <c r="B309" s="174" t="s">
        <v>87</v>
      </c>
      <c r="C309" s="175" t="s">
        <v>7</v>
      </c>
      <c r="D309" s="176">
        <v>0.02</v>
      </c>
      <c r="E309" s="177">
        <f>'HARGA BAHAN'!E6</f>
        <v>180000</v>
      </c>
      <c r="F309" s="178">
        <f>+D309*E309</f>
        <v>3600</v>
      </c>
    </row>
    <row r="310" spans="1:6" ht="14.4" thickBot="1" x14ac:dyDescent="0.3">
      <c r="A310" s="182"/>
      <c r="B310" s="183" t="s">
        <v>42</v>
      </c>
      <c r="C310" s="184" t="s">
        <v>7</v>
      </c>
      <c r="D310" s="185">
        <v>0.01</v>
      </c>
      <c r="E310" s="177">
        <f>'HARGA BAHAN'!E7</f>
        <v>175000</v>
      </c>
      <c r="F310" s="178">
        <f>+D310*E310</f>
        <v>1750</v>
      </c>
    </row>
    <row r="311" spans="1:6" ht="14.4" thickBot="1" x14ac:dyDescent="0.3">
      <c r="A311" s="186"/>
      <c r="B311" s="187"/>
      <c r="C311" s="188"/>
      <c r="D311" s="189" t="s">
        <v>8</v>
      </c>
      <c r="E311" s="190"/>
      <c r="F311" s="191">
        <f>SUM(F307:F310)</f>
        <v>33850</v>
      </c>
    </row>
    <row r="312" spans="1:6" x14ac:dyDescent="0.25">
      <c r="A312" s="192" t="s">
        <v>9</v>
      </c>
      <c r="B312" s="193" t="s">
        <v>77</v>
      </c>
      <c r="C312" s="194"/>
      <c r="D312" s="194"/>
      <c r="E312" s="194"/>
      <c r="F312" s="195"/>
    </row>
    <row r="313" spans="1:6" x14ac:dyDescent="0.25">
      <c r="A313" s="196"/>
      <c r="B313" s="197" t="s">
        <v>331</v>
      </c>
      <c r="C313" s="198" t="s">
        <v>213</v>
      </c>
      <c r="D313" s="388">
        <v>3</v>
      </c>
      <c r="E313" s="200">
        <f>'HARGA BAHAN'!E14</f>
        <v>59000</v>
      </c>
      <c r="F313" s="201">
        <f>+D313*E313</f>
        <v>177000</v>
      </c>
    </row>
    <row r="314" spans="1:6" ht="14.4" thickBot="1" x14ac:dyDescent="0.3">
      <c r="A314" s="173"/>
      <c r="B314" s="174"/>
      <c r="C314" s="175"/>
      <c r="D314" s="176"/>
      <c r="E314" s="177"/>
      <c r="F314" s="383"/>
    </row>
    <row r="315" spans="1:6" ht="14.4" thickBot="1" x14ac:dyDescent="0.3">
      <c r="A315" s="186"/>
      <c r="B315" s="205"/>
      <c r="C315" s="205"/>
      <c r="D315" s="206" t="s">
        <v>10</v>
      </c>
      <c r="E315" s="205"/>
      <c r="F315" s="191">
        <f>SUM(F313:F314)</f>
        <v>177000</v>
      </c>
    </row>
    <row r="316" spans="1:6" x14ac:dyDescent="0.25">
      <c r="A316" s="192" t="s">
        <v>11</v>
      </c>
      <c r="B316" s="193" t="s">
        <v>78</v>
      </c>
      <c r="C316" s="194"/>
      <c r="D316" s="194"/>
      <c r="E316" s="194"/>
      <c r="F316" s="195"/>
    </row>
    <row r="317" spans="1:6" ht="14.4" thickBot="1" x14ac:dyDescent="0.3">
      <c r="A317" s="207"/>
      <c r="B317" s="208"/>
      <c r="C317" s="209"/>
      <c r="D317" s="210"/>
      <c r="E317" s="211"/>
      <c r="F317" s="212"/>
    </row>
    <row r="318" spans="1:6" ht="14.4" thickBot="1" x14ac:dyDescent="0.3">
      <c r="A318" s="186"/>
      <c r="B318" s="187"/>
      <c r="C318" s="188"/>
      <c r="D318" s="189" t="s">
        <v>12</v>
      </c>
      <c r="E318" s="190"/>
      <c r="F318" s="191">
        <f>SUM(F317)</f>
        <v>0</v>
      </c>
    </row>
    <row r="319" spans="1:6" x14ac:dyDescent="0.25">
      <c r="A319" s="192" t="s">
        <v>13</v>
      </c>
      <c r="B319" s="193" t="s">
        <v>14</v>
      </c>
      <c r="C319" s="213"/>
      <c r="D319" s="213"/>
      <c r="E319" s="214"/>
      <c r="F319" s="215">
        <f>+F311+F315+F318</f>
        <v>210850</v>
      </c>
    </row>
    <row r="320" spans="1:6" x14ac:dyDescent="0.25">
      <c r="A320" s="169" t="s">
        <v>15</v>
      </c>
      <c r="B320" s="170" t="s">
        <v>51</v>
      </c>
      <c r="C320" s="216"/>
      <c r="D320" s="216"/>
      <c r="E320" s="217"/>
      <c r="F320" s="218">
        <f>F319*15%</f>
        <v>31627.5</v>
      </c>
    </row>
    <row r="321" spans="1:6" ht="14.4" thickBot="1" x14ac:dyDescent="0.3">
      <c r="A321" s="219" t="s">
        <v>16</v>
      </c>
      <c r="B321" s="220" t="s">
        <v>17</v>
      </c>
      <c r="C321" s="221"/>
      <c r="D321" s="221"/>
      <c r="E321" s="222"/>
      <c r="F321" s="223">
        <f>SUM(F319:F320)</f>
        <v>242477.5</v>
      </c>
    </row>
    <row r="323" spans="1:6" ht="14.4" thickBot="1" x14ac:dyDescent="0.3">
      <c r="A323" s="160" t="s">
        <v>508</v>
      </c>
      <c r="B323" s="161" t="s">
        <v>509</v>
      </c>
      <c r="C323" s="162"/>
      <c r="D323" s="162"/>
      <c r="E323" s="162"/>
      <c r="F323" s="162"/>
    </row>
    <row r="324" spans="1:6" ht="28.2" thickBot="1" x14ac:dyDescent="0.3">
      <c r="A324" s="163" t="s">
        <v>2</v>
      </c>
      <c r="B324" s="164" t="s">
        <v>3</v>
      </c>
      <c r="C324" s="164" t="s">
        <v>0</v>
      </c>
      <c r="D324" s="164" t="s">
        <v>4</v>
      </c>
      <c r="E324" s="164" t="s">
        <v>5</v>
      </c>
      <c r="F324" s="165" t="s">
        <v>6</v>
      </c>
    </row>
    <row r="325" spans="1:6" x14ac:dyDescent="0.25">
      <c r="A325" s="166">
        <v>1</v>
      </c>
      <c r="B325" s="167">
        <v>2</v>
      </c>
      <c r="C325" s="167">
        <v>3</v>
      </c>
      <c r="D325" s="167">
        <v>4</v>
      </c>
      <c r="E325" s="167">
        <v>5</v>
      </c>
      <c r="F325" s="168">
        <v>6</v>
      </c>
    </row>
    <row r="326" spans="1:6" x14ac:dyDescent="0.25">
      <c r="A326" s="169" t="s">
        <v>1</v>
      </c>
      <c r="B326" s="170" t="s">
        <v>76</v>
      </c>
      <c r="C326" s="171"/>
      <c r="D326" s="171"/>
      <c r="E326" s="171"/>
      <c r="F326" s="172"/>
    </row>
    <row r="327" spans="1:6" x14ac:dyDescent="0.25">
      <c r="A327" s="173"/>
      <c r="B327" s="174" t="s">
        <v>40</v>
      </c>
      <c r="C327" s="175" t="s">
        <v>7</v>
      </c>
      <c r="D327" s="176">
        <v>4.2999999999999997E-2</v>
      </c>
      <c r="E327" s="177">
        <f>'HARGA BAHAN'!E4</f>
        <v>125000</v>
      </c>
      <c r="F327" s="178">
        <f>+D327*E327</f>
        <v>5375</v>
      </c>
    </row>
    <row r="328" spans="1:6" x14ac:dyDescent="0.25">
      <c r="A328" s="173"/>
      <c r="B328" s="179" t="s">
        <v>332</v>
      </c>
      <c r="C328" s="180" t="s">
        <v>7</v>
      </c>
      <c r="D328" s="181">
        <v>4.2999999999999997E-2</v>
      </c>
      <c r="E328" s="177">
        <f>'HARGA BAHAN'!E5</f>
        <v>160000</v>
      </c>
      <c r="F328" s="178">
        <f>+D328*E328</f>
        <v>6879.9999999999991</v>
      </c>
    </row>
    <row r="329" spans="1:6" x14ac:dyDescent="0.25">
      <c r="A329" s="173"/>
      <c r="B329" s="174" t="s">
        <v>87</v>
      </c>
      <c r="C329" s="175" t="s">
        <v>7</v>
      </c>
      <c r="D329" s="176">
        <v>4.3E-3</v>
      </c>
      <c r="E329" s="177">
        <f>'HARGA BAHAN'!E6</f>
        <v>180000</v>
      </c>
      <c r="F329" s="178">
        <f>+D329*E329</f>
        <v>774</v>
      </c>
    </row>
    <row r="330" spans="1:6" ht="14.4" thickBot="1" x14ac:dyDescent="0.3">
      <c r="A330" s="182"/>
      <c r="B330" s="183" t="s">
        <v>42</v>
      </c>
      <c r="C330" s="184" t="s">
        <v>7</v>
      </c>
      <c r="D330" s="185">
        <v>2.0999999999999999E-3</v>
      </c>
      <c r="E330" s="177">
        <f>'HARGA BAHAN'!E7</f>
        <v>175000</v>
      </c>
      <c r="F330" s="178">
        <f>+D330*E330</f>
        <v>367.5</v>
      </c>
    </row>
    <row r="331" spans="1:6" ht="14.4" thickBot="1" x14ac:dyDescent="0.3">
      <c r="A331" s="186"/>
      <c r="B331" s="187"/>
      <c r="C331" s="188"/>
      <c r="D331" s="189" t="s">
        <v>8</v>
      </c>
      <c r="E331" s="190"/>
      <c r="F331" s="191">
        <f>SUM(F327:F330)</f>
        <v>13396.5</v>
      </c>
    </row>
    <row r="332" spans="1:6" x14ac:dyDescent="0.25">
      <c r="A332" s="192" t="s">
        <v>9</v>
      </c>
      <c r="B332" s="193" t="s">
        <v>77</v>
      </c>
      <c r="C332" s="194"/>
      <c r="D332" s="194"/>
      <c r="E332" s="194"/>
      <c r="F332" s="195"/>
    </row>
    <row r="333" spans="1:6" x14ac:dyDescent="0.25">
      <c r="A333" s="196"/>
      <c r="B333" s="197" t="s">
        <v>510</v>
      </c>
      <c r="C333" s="198" t="s">
        <v>200</v>
      </c>
      <c r="D333" s="388">
        <v>1.1000000000000001</v>
      </c>
      <c r="E333" s="200">
        <f>'HARGA BAHAN'!E48</f>
        <v>120000</v>
      </c>
      <c r="F333" s="201">
        <f>+D333*E333</f>
        <v>132000</v>
      </c>
    </row>
    <row r="334" spans="1:6" x14ac:dyDescent="0.25">
      <c r="A334" s="202"/>
      <c r="B334" s="179" t="s">
        <v>511</v>
      </c>
      <c r="C334" s="180" t="s">
        <v>159</v>
      </c>
      <c r="D334" s="181">
        <v>2</v>
      </c>
      <c r="E334" s="204">
        <f>'HARGA BAHAN'!E49</f>
        <v>4000</v>
      </c>
      <c r="F334" s="178">
        <f>+D334*E334</f>
        <v>8000</v>
      </c>
    </row>
    <row r="335" spans="1:6" ht="14.4" thickBot="1" x14ac:dyDescent="0.3">
      <c r="A335" s="173"/>
      <c r="B335" s="174" t="s">
        <v>512</v>
      </c>
      <c r="C335" s="175" t="s">
        <v>213</v>
      </c>
      <c r="D335" s="176">
        <v>0.06</v>
      </c>
      <c r="E335" s="177">
        <f>'HARGA BAHAN'!E99</f>
        <v>150000</v>
      </c>
      <c r="F335" s="178">
        <f>+D335*E335</f>
        <v>9000</v>
      </c>
    </row>
    <row r="336" spans="1:6" ht="14.4" thickBot="1" x14ac:dyDescent="0.3">
      <c r="A336" s="186"/>
      <c r="B336" s="205"/>
      <c r="C336" s="205"/>
      <c r="D336" s="206" t="s">
        <v>10</v>
      </c>
      <c r="E336" s="205"/>
      <c r="F336" s="191">
        <f>SUM(F333:F335)</f>
        <v>149000</v>
      </c>
    </row>
    <row r="337" spans="1:6" x14ac:dyDescent="0.25">
      <c r="A337" s="192" t="s">
        <v>11</v>
      </c>
      <c r="B337" s="193" t="s">
        <v>78</v>
      </c>
      <c r="C337" s="194"/>
      <c r="D337" s="194"/>
      <c r="E337" s="194"/>
      <c r="F337" s="195"/>
    </row>
    <row r="338" spans="1:6" ht="14.4" thickBot="1" x14ac:dyDescent="0.3">
      <c r="A338" s="207"/>
      <c r="B338" s="208"/>
      <c r="C338" s="209"/>
      <c r="D338" s="210"/>
      <c r="E338" s="211"/>
      <c r="F338" s="212"/>
    </row>
    <row r="339" spans="1:6" ht="14.4" thickBot="1" x14ac:dyDescent="0.3">
      <c r="A339" s="186"/>
      <c r="B339" s="187"/>
      <c r="C339" s="188"/>
      <c r="D339" s="189" t="s">
        <v>12</v>
      </c>
      <c r="E339" s="190"/>
      <c r="F339" s="191">
        <f>SUM(F338)</f>
        <v>0</v>
      </c>
    </row>
    <row r="340" spans="1:6" x14ac:dyDescent="0.25">
      <c r="A340" s="192" t="s">
        <v>13</v>
      </c>
      <c r="B340" s="193" t="s">
        <v>14</v>
      </c>
      <c r="C340" s="213"/>
      <c r="D340" s="213"/>
      <c r="E340" s="214"/>
      <c r="F340" s="215">
        <f>+F331+F336+F339</f>
        <v>162396.5</v>
      </c>
    </row>
    <row r="341" spans="1:6" x14ac:dyDescent="0.25">
      <c r="A341" s="169" t="s">
        <v>15</v>
      </c>
      <c r="B341" s="170" t="s">
        <v>51</v>
      </c>
      <c r="C341" s="216"/>
      <c r="D341" s="216"/>
      <c r="E341" s="217"/>
      <c r="F341" s="218">
        <f>F340*15%</f>
        <v>24359.474999999999</v>
      </c>
    </row>
    <row r="342" spans="1:6" ht="14.4" thickBot="1" x14ac:dyDescent="0.3">
      <c r="A342" s="219" t="s">
        <v>16</v>
      </c>
      <c r="B342" s="220" t="s">
        <v>17</v>
      </c>
      <c r="C342" s="221"/>
      <c r="D342" s="221"/>
      <c r="E342" s="222"/>
      <c r="F342" s="223">
        <f>SUM(F340:F341)</f>
        <v>186755.97500000001</v>
      </c>
    </row>
    <row r="344" spans="1:6" ht="14.4" thickBot="1" x14ac:dyDescent="0.3">
      <c r="A344" s="71" t="s">
        <v>647</v>
      </c>
      <c r="B344" s="2" t="s">
        <v>652</v>
      </c>
      <c r="C344" s="3"/>
      <c r="D344" s="3"/>
      <c r="E344" s="3"/>
      <c r="F344" s="3"/>
    </row>
    <row r="345" spans="1:6" ht="28.2" thickBot="1" x14ac:dyDescent="0.3">
      <c r="A345" s="4" t="s">
        <v>2</v>
      </c>
      <c r="B345" s="5" t="s">
        <v>3</v>
      </c>
      <c r="C345" s="5" t="s">
        <v>0</v>
      </c>
      <c r="D345" s="5" t="s">
        <v>4</v>
      </c>
      <c r="E345" s="5" t="s">
        <v>5</v>
      </c>
      <c r="F345" s="6" t="s">
        <v>6</v>
      </c>
    </row>
    <row r="346" spans="1:6" x14ac:dyDescent="0.25">
      <c r="A346" s="7">
        <v>1</v>
      </c>
      <c r="B346" s="8">
        <v>2</v>
      </c>
      <c r="C346" s="8">
        <v>3</v>
      </c>
      <c r="D346" s="8">
        <v>4</v>
      </c>
      <c r="E346" s="8">
        <v>5</v>
      </c>
      <c r="F346" s="9">
        <v>6</v>
      </c>
    </row>
    <row r="347" spans="1:6" x14ac:dyDescent="0.25">
      <c r="A347" s="10" t="s">
        <v>1</v>
      </c>
      <c r="B347" s="11" t="s">
        <v>76</v>
      </c>
      <c r="C347" s="12"/>
      <c r="D347" s="12"/>
      <c r="E347" s="12"/>
      <c r="F347" s="13"/>
    </row>
    <row r="348" spans="1:6" x14ac:dyDescent="0.25">
      <c r="A348" s="14"/>
      <c r="B348" s="15" t="s">
        <v>40</v>
      </c>
      <c r="C348" s="16" t="s">
        <v>7</v>
      </c>
      <c r="D348" s="17">
        <v>1E-3</v>
      </c>
      <c r="E348" s="18">
        <f>'HARGA BAHAN'!E4</f>
        <v>125000</v>
      </c>
      <c r="F348" s="19">
        <f>+D348*E348</f>
        <v>125</v>
      </c>
    </row>
    <row r="349" spans="1:6" x14ac:dyDescent="0.25">
      <c r="A349" s="14"/>
      <c r="B349" s="20" t="s">
        <v>648</v>
      </c>
      <c r="C349" s="21" t="s">
        <v>7</v>
      </c>
      <c r="D349" s="22">
        <v>1E-3</v>
      </c>
      <c r="E349" s="18">
        <f>'HARGA BAHAN'!E5</f>
        <v>160000</v>
      </c>
      <c r="F349" s="19">
        <f>+D349*E349</f>
        <v>160</v>
      </c>
    </row>
    <row r="350" spans="1:6" x14ac:dyDescent="0.25">
      <c r="A350" s="14"/>
      <c r="B350" s="15" t="s">
        <v>87</v>
      </c>
      <c r="C350" s="16" t="s">
        <v>7</v>
      </c>
      <c r="D350" s="17">
        <v>1.0000000000000001E-5</v>
      </c>
      <c r="E350" s="18">
        <f>'HARGA BAHAN'!E6</f>
        <v>180000</v>
      </c>
      <c r="F350" s="19">
        <f>+D350*E350</f>
        <v>1.8</v>
      </c>
    </row>
    <row r="351" spans="1:6" ht="14.4" thickBot="1" x14ac:dyDescent="0.3">
      <c r="A351" s="24"/>
      <c r="B351" s="25" t="s">
        <v>42</v>
      </c>
      <c r="C351" s="26" t="s">
        <v>7</v>
      </c>
      <c r="D351" s="27">
        <v>5.0000000000000002E-5</v>
      </c>
      <c r="E351" s="18">
        <f>'HARGA BAHAN'!E7</f>
        <v>175000</v>
      </c>
      <c r="F351" s="19">
        <f>+D351*E351</f>
        <v>8.75</v>
      </c>
    </row>
    <row r="352" spans="1:6" ht="14.4" thickBot="1" x14ac:dyDescent="0.3">
      <c r="A352" s="28"/>
      <c r="B352" s="29"/>
      <c r="C352" s="30"/>
      <c r="D352" s="31" t="s">
        <v>8</v>
      </c>
      <c r="E352" s="32"/>
      <c r="F352" s="33">
        <f>SUM(F348:F351)</f>
        <v>295.55</v>
      </c>
    </row>
    <row r="353" spans="1:6" x14ac:dyDescent="0.25">
      <c r="A353" s="34" t="s">
        <v>9</v>
      </c>
      <c r="B353" s="35" t="s">
        <v>77</v>
      </c>
      <c r="C353" s="36"/>
      <c r="D353" s="36"/>
      <c r="E353" s="36"/>
      <c r="F353" s="37"/>
    </row>
    <row r="354" spans="1:6" x14ac:dyDescent="0.25">
      <c r="A354" s="38"/>
      <c r="B354" s="39" t="s">
        <v>649</v>
      </c>
      <c r="C354" s="40" t="s">
        <v>213</v>
      </c>
      <c r="D354" s="75">
        <v>1.1499999999999999</v>
      </c>
      <c r="E354" s="42">
        <f>'HARGA BAHAN'!E21</f>
        <v>19200</v>
      </c>
      <c r="F354" s="43">
        <f>+D354*E354</f>
        <v>22080</v>
      </c>
    </row>
    <row r="355" spans="1:6" x14ac:dyDescent="0.25">
      <c r="A355" s="68"/>
      <c r="B355" s="20" t="s">
        <v>650</v>
      </c>
      <c r="C355" s="21" t="s">
        <v>290</v>
      </c>
      <c r="D355" s="76">
        <v>0.01</v>
      </c>
      <c r="E355" s="23">
        <f>'HARGA BAHAN'!E93</f>
        <v>6800</v>
      </c>
      <c r="F355" s="19">
        <f>+D355*E355</f>
        <v>68</v>
      </c>
    </row>
    <row r="356" spans="1:6" ht="14.4" thickBot="1" x14ac:dyDescent="0.3">
      <c r="A356" s="68"/>
      <c r="B356" s="20" t="s">
        <v>651</v>
      </c>
      <c r="C356" s="21" t="s">
        <v>290</v>
      </c>
      <c r="D356" s="76">
        <v>1E-3</v>
      </c>
      <c r="E356" s="23">
        <f>'HARGA BAHAN'!E94</f>
        <v>68700</v>
      </c>
      <c r="F356" s="19">
        <f>+D356*E356</f>
        <v>68.7</v>
      </c>
    </row>
    <row r="357" spans="1:6" ht="14.4" thickBot="1" x14ac:dyDescent="0.3">
      <c r="A357" s="28"/>
      <c r="B357" s="44"/>
      <c r="C357" s="44"/>
      <c r="D357" s="45" t="s">
        <v>10</v>
      </c>
      <c r="E357" s="44"/>
      <c r="F357" s="33">
        <f>SUM(F354:F356)</f>
        <v>22216.7</v>
      </c>
    </row>
    <row r="358" spans="1:6" x14ac:dyDescent="0.25">
      <c r="A358" s="34" t="s">
        <v>11</v>
      </c>
      <c r="B358" s="35" t="s">
        <v>78</v>
      </c>
      <c r="C358" s="36"/>
      <c r="D358" s="36"/>
      <c r="E358" s="36"/>
      <c r="F358" s="37"/>
    </row>
    <row r="359" spans="1:6" ht="14.4" thickBot="1" x14ac:dyDescent="0.3">
      <c r="A359" s="46"/>
      <c r="B359" s="47"/>
      <c r="C359" s="48"/>
      <c r="D359" s="49"/>
      <c r="E359" s="50"/>
      <c r="F359" s="51"/>
    </row>
    <row r="360" spans="1:6" ht="14.4" thickBot="1" x14ac:dyDescent="0.3">
      <c r="A360" s="28"/>
      <c r="B360" s="29"/>
      <c r="C360" s="30"/>
      <c r="D360" s="31" t="s">
        <v>12</v>
      </c>
      <c r="E360" s="32"/>
      <c r="F360" s="33">
        <f>SUM(F359)</f>
        <v>0</v>
      </c>
    </row>
    <row r="361" spans="1:6" x14ac:dyDescent="0.25">
      <c r="A361" s="34" t="s">
        <v>13</v>
      </c>
      <c r="B361" s="35" t="s">
        <v>14</v>
      </c>
      <c r="C361" s="52"/>
      <c r="D361" s="52"/>
      <c r="E361" s="53"/>
      <c r="F361" s="54">
        <f>+F352+F357+F360</f>
        <v>22512.25</v>
      </c>
    </row>
    <row r="362" spans="1:6" x14ac:dyDescent="0.25">
      <c r="A362" s="10" t="s">
        <v>15</v>
      </c>
      <c r="B362" s="11" t="s">
        <v>51</v>
      </c>
      <c r="C362" s="55"/>
      <c r="D362" s="55"/>
      <c r="E362" s="56"/>
      <c r="F362" s="57">
        <f>F361*15%</f>
        <v>3376.8375000000001</v>
      </c>
    </row>
    <row r="363" spans="1:6" ht="14.4" thickBot="1" x14ac:dyDescent="0.3">
      <c r="A363" s="58" t="s">
        <v>16</v>
      </c>
      <c r="B363" s="59" t="s">
        <v>17</v>
      </c>
      <c r="C363" s="60"/>
      <c r="D363" s="60"/>
      <c r="E363" s="61"/>
      <c r="F363" s="62">
        <f>SUM(F361:F362)</f>
        <v>25889.087500000001</v>
      </c>
    </row>
    <row r="365" spans="1:6" x14ac:dyDescent="0.25">
      <c r="A365" s="71" t="s">
        <v>653</v>
      </c>
    </row>
    <row r="366" spans="1:6" ht="14.4" thickBot="1" x14ac:dyDescent="0.3">
      <c r="A366" s="71" t="s">
        <v>647</v>
      </c>
      <c r="B366" s="2" t="s">
        <v>654</v>
      </c>
      <c r="C366" s="3"/>
      <c r="D366" s="3"/>
      <c r="E366" s="3"/>
      <c r="F366" s="3"/>
    </row>
    <row r="367" spans="1:6" ht="28.2" thickBot="1" x14ac:dyDescent="0.3">
      <c r="A367" s="4" t="s">
        <v>2</v>
      </c>
      <c r="B367" s="5" t="s">
        <v>3</v>
      </c>
      <c r="C367" s="5" t="s">
        <v>0</v>
      </c>
      <c r="D367" s="5" t="s">
        <v>4</v>
      </c>
      <c r="E367" s="5" t="s">
        <v>5</v>
      </c>
      <c r="F367" s="6" t="s">
        <v>6</v>
      </c>
    </row>
    <row r="368" spans="1:6" x14ac:dyDescent="0.25">
      <c r="A368" s="7">
        <v>1</v>
      </c>
      <c r="B368" s="8">
        <v>2</v>
      </c>
      <c r="C368" s="8">
        <v>3</v>
      </c>
      <c r="D368" s="8">
        <v>4</v>
      </c>
      <c r="E368" s="8">
        <v>5</v>
      </c>
      <c r="F368" s="9">
        <v>6</v>
      </c>
    </row>
    <row r="369" spans="1:6" x14ac:dyDescent="0.25">
      <c r="A369" s="10" t="s">
        <v>1</v>
      </c>
      <c r="B369" s="11" t="s">
        <v>76</v>
      </c>
      <c r="C369" s="12"/>
      <c r="D369" s="12"/>
      <c r="E369" s="12"/>
      <c r="F369" s="13"/>
    </row>
    <row r="370" spans="1:6" x14ac:dyDescent="0.25">
      <c r="A370" s="14"/>
      <c r="B370" s="15" t="s">
        <v>40</v>
      </c>
      <c r="C370" s="16" t="s">
        <v>7</v>
      </c>
      <c r="D370" s="17">
        <v>4.1000000000000002E-2</v>
      </c>
      <c r="E370" s="18">
        <f>'HARGA BAHAN'!E4</f>
        <v>125000</v>
      </c>
      <c r="F370" s="19">
        <f>+D370*E370</f>
        <v>5125</v>
      </c>
    </row>
    <row r="371" spans="1:6" x14ac:dyDescent="0.25">
      <c r="A371" s="14"/>
      <c r="B371" s="20" t="s">
        <v>648</v>
      </c>
      <c r="C371" s="21" t="s">
        <v>7</v>
      </c>
      <c r="D371" s="22">
        <v>4.1000000000000002E-2</v>
      </c>
      <c r="E371" s="18">
        <f>'HARGA BAHAN'!E5</f>
        <v>160000</v>
      </c>
      <c r="F371" s="19">
        <f>+D371*E371</f>
        <v>6560</v>
      </c>
    </row>
    <row r="372" spans="1:6" x14ac:dyDescent="0.25">
      <c r="A372" s="14"/>
      <c r="B372" s="15" t="s">
        <v>87</v>
      </c>
      <c r="C372" s="16" t="s">
        <v>7</v>
      </c>
      <c r="D372" s="17">
        <v>4.1000000000000003E-3</v>
      </c>
      <c r="E372" s="18">
        <f>'HARGA BAHAN'!E6</f>
        <v>180000</v>
      </c>
      <c r="F372" s="19">
        <f>+D372*E372</f>
        <v>738.00000000000011</v>
      </c>
    </row>
    <row r="373" spans="1:6" ht="14.4" thickBot="1" x14ac:dyDescent="0.3">
      <c r="A373" s="24"/>
      <c r="B373" s="25" t="s">
        <v>42</v>
      </c>
      <c r="C373" s="26" t="s">
        <v>7</v>
      </c>
      <c r="D373" s="27">
        <v>2.0500000000000002E-3</v>
      </c>
      <c r="E373" s="18">
        <f>'HARGA BAHAN'!E7</f>
        <v>175000</v>
      </c>
      <c r="F373" s="19">
        <f>+D373*E373</f>
        <v>358.75000000000006</v>
      </c>
    </row>
    <row r="374" spans="1:6" ht="14.4" thickBot="1" x14ac:dyDescent="0.3">
      <c r="A374" s="28"/>
      <c r="B374" s="29"/>
      <c r="C374" s="30"/>
      <c r="D374" s="31" t="s">
        <v>8</v>
      </c>
      <c r="E374" s="32"/>
      <c r="F374" s="33">
        <f>SUM(F370:F373)</f>
        <v>12781.75</v>
      </c>
    </row>
    <row r="375" spans="1:6" x14ac:dyDescent="0.25">
      <c r="A375" s="34" t="s">
        <v>9</v>
      </c>
      <c r="B375" s="35" t="s">
        <v>77</v>
      </c>
      <c r="C375" s="36"/>
      <c r="D375" s="36"/>
      <c r="E375" s="36"/>
      <c r="F375" s="37"/>
    </row>
    <row r="376" spans="1:6" x14ac:dyDescent="0.25">
      <c r="A376" s="38"/>
      <c r="B376" s="39" t="s">
        <v>659</v>
      </c>
      <c r="C376" s="40" t="s">
        <v>213</v>
      </c>
      <c r="D376" s="75">
        <v>1.1499999999999999</v>
      </c>
      <c r="E376" s="42">
        <f>'HARGA BAHAN'!E21</f>
        <v>19200</v>
      </c>
      <c r="F376" s="43">
        <f>+D376*E376</f>
        <v>22080</v>
      </c>
    </row>
    <row r="377" spans="1:6" x14ac:dyDescent="0.25">
      <c r="A377" s="68"/>
      <c r="B377" s="20" t="s">
        <v>650</v>
      </c>
      <c r="C377" s="21" t="s">
        <v>290</v>
      </c>
      <c r="D377" s="76">
        <v>0.35</v>
      </c>
      <c r="E377" s="23">
        <f>'HARGA BAHAN'!E93</f>
        <v>6800</v>
      </c>
      <c r="F377" s="19">
        <f>+D377*E377</f>
        <v>2380</v>
      </c>
    </row>
    <row r="378" spans="1:6" ht="14.4" thickBot="1" x14ac:dyDescent="0.3">
      <c r="A378" s="68"/>
      <c r="B378" s="20" t="s">
        <v>651</v>
      </c>
      <c r="C378" s="21" t="s">
        <v>290</v>
      </c>
      <c r="D378" s="76">
        <v>3.5000000000000003E-2</v>
      </c>
      <c r="E378" s="23">
        <f>'HARGA BAHAN'!E94</f>
        <v>68700</v>
      </c>
      <c r="F378" s="19">
        <f>+D378*E378</f>
        <v>2404.5000000000005</v>
      </c>
    </row>
    <row r="379" spans="1:6" ht="14.4" thickBot="1" x14ac:dyDescent="0.3">
      <c r="A379" s="28"/>
      <c r="B379" s="44"/>
      <c r="C379" s="44"/>
      <c r="D379" s="45" t="s">
        <v>10</v>
      </c>
      <c r="E379" s="44"/>
      <c r="F379" s="33">
        <f>SUM(F376:F378)</f>
        <v>26864.5</v>
      </c>
    </row>
    <row r="380" spans="1:6" x14ac:dyDescent="0.25">
      <c r="A380" s="34" t="s">
        <v>11</v>
      </c>
      <c r="B380" s="35" t="s">
        <v>78</v>
      </c>
      <c r="C380" s="36"/>
      <c r="D380" s="36"/>
      <c r="E380" s="36"/>
      <c r="F380" s="37"/>
    </row>
    <row r="381" spans="1:6" ht="14.4" thickBot="1" x14ac:dyDescent="0.3">
      <c r="A381" s="46"/>
      <c r="B381" s="47"/>
      <c r="C381" s="48"/>
      <c r="D381" s="49"/>
      <c r="E381" s="50"/>
      <c r="F381" s="51"/>
    </row>
    <row r="382" spans="1:6" ht="14.4" thickBot="1" x14ac:dyDescent="0.3">
      <c r="A382" s="28"/>
      <c r="B382" s="29"/>
      <c r="C382" s="30"/>
      <c r="D382" s="31" t="s">
        <v>12</v>
      </c>
      <c r="E382" s="32"/>
      <c r="F382" s="33">
        <f>SUM(F381)</f>
        <v>0</v>
      </c>
    </row>
    <row r="383" spans="1:6" x14ac:dyDescent="0.25">
      <c r="A383" s="34" t="s">
        <v>13</v>
      </c>
      <c r="B383" s="35" t="s">
        <v>14</v>
      </c>
      <c r="C383" s="52"/>
      <c r="D383" s="52"/>
      <c r="E383" s="53"/>
      <c r="F383" s="54">
        <f>+F374+F379+F382</f>
        <v>39646.25</v>
      </c>
    </row>
    <row r="384" spans="1:6" x14ac:dyDescent="0.25">
      <c r="A384" s="10" t="s">
        <v>15</v>
      </c>
      <c r="B384" s="11" t="s">
        <v>51</v>
      </c>
      <c r="C384" s="55"/>
      <c r="D384" s="55"/>
      <c r="E384" s="56"/>
      <c r="F384" s="57">
        <f>F383*15%</f>
        <v>5946.9375</v>
      </c>
    </row>
    <row r="385" spans="1:6" ht="14.4" thickBot="1" x14ac:dyDescent="0.3">
      <c r="A385" s="58" t="s">
        <v>16</v>
      </c>
      <c r="B385" s="59" t="s">
        <v>17</v>
      </c>
      <c r="C385" s="60"/>
      <c r="D385" s="60"/>
      <c r="E385" s="61"/>
      <c r="F385" s="62">
        <f>SUM(F383:F384)</f>
        <v>45593.1875</v>
      </c>
    </row>
    <row r="387" spans="1:6" ht="16.2" thickBot="1" x14ac:dyDescent="0.3">
      <c r="A387" s="71" t="s">
        <v>64</v>
      </c>
      <c r="B387" s="2" t="s">
        <v>103</v>
      </c>
      <c r="C387" s="3"/>
      <c r="D387" s="3"/>
      <c r="E387" s="3"/>
      <c r="F387" s="3"/>
    </row>
    <row r="388" spans="1:6" ht="28.2" thickBot="1" x14ac:dyDescent="0.3">
      <c r="A388" s="4" t="s">
        <v>2</v>
      </c>
      <c r="B388" s="5" t="s">
        <v>3</v>
      </c>
      <c r="C388" s="5" t="s">
        <v>0</v>
      </c>
      <c r="D388" s="5" t="s">
        <v>4</v>
      </c>
      <c r="E388" s="5" t="s">
        <v>5</v>
      </c>
      <c r="F388" s="6" t="s">
        <v>6</v>
      </c>
    </row>
    <row r="389" spans="1:6" x14ac:dyDescent="0.25">
      <c r="A389" s="7">
        <v>1</v>
      </c>
      <c r="B389" s="8">
        <v>2</v>
      </c>
      <c r="C389" s="8">
        <v>3</v>
      </c>
      <c r="D389" s="8">
        <v>4</v>
      </c>
      <c r="E389" s="8">
        <v>5</v>
      </c>
      <c r="F389" s="9">
        <v>6</v>
      </c>
    </row>
    <row r="390" spans="1:6" x14ac:dyDescent="0.25">
      <c r="A390" s="10" t="s">
        <v>1</v>
      </c>
      <c r="B390" s="11" t="s">
        <v>76</v>
      </c>
      <c r="C390" s="12"/>
      <c r="D390" s="12"/>
      <c r="E390" s="12"/>
      <c r="F390" s="13"/>
    </row>
    <row r="391" spans="1:6" x14ac:dyDescent="0.25">
      <c r="A391" s="14"/>
      <c r="B391" s="15" t="s">
        <v>40</v>
      </c>
      <c r="C391" s="16" t="s">
        <v>7</v>
      </c>
      <c r="D391" s="17">
        <v>0.25</v>
      </c>
      <c r="E391" s="18">
        <f>'HARGA BAHAN'!E4</f>
        <v>125000</v>
      </c>
      <c r="F391" s="19">
        <f>+D391*E391</f>
        <v>31250</v>
      </c>
    </row>
    <row r="392" spans="1:6" ht="14.4" thickBot="1" x14ac:dyDescent="0.3">
      <c r="A392" s="24"/>
      <c r="B392" s="25" t="s">
        <v>42</v>
      </c>
      <c r="C392" s="26" t="s">
        <v>7</v>
      </c>
      <c r="D392" s="27">
        <v>2.5000000000000001E-2</v>
      </c>
      <c r="E392" s="18">
        <f>'HARGA BAHAN'!E7</f>
        <v>175000</v>
      </c>
      <c r="F392" s="19">
        <f>+D392*E392</f>
        <v>4375</v>
      </c>
    </row>
    <row r="393" spans="1:6" ht="14.4" thickBot="1" x14ac:dyDescent="0.3">
      <c r="A393" s="28"/>
      <c r="B393" s="29"/>
      <c r="C393" s="30"/>
      <c r="D393" s="31" t="s">
        <v>8</v>
      </c>
      <c r="E393" s="32"/>
      <c r="F393" s="33">
        <f>SUM(F391:F392)</f>
        <v>35625</v>
      </c>
    </row>
    <row r="394" spans="1:6" x14ac:dyDescent="0.25">
      <c r="A394" s="34" t="s">
        <v>9</v>
      </c>
      <c r="B394" s="35" t="s">
        <v>77</v>
      </c>
      <c r="C394" s="36"/>
      <c r="D394" s="36"/>
      <c r="E394" s="36"/>
      <c r="F394" s="37"/>
    </row>
    <row r="395" spans="1:6" ht="16.2" thickBot="1" x14ac:dyDescent="0.3">
      <c r="A395" s="38"/>
      <c r="B395" s="39" t="s">
        <v>104</v>
      </c>
      <c r="C395" s="40" t="s">
        <v>24</v>
      </c>
      <c r="D395" s="75">
        <v>1.2</v>
      </c>
      <c r="E395" s="42">
        <f>'HARGA BAHAN'!E30</f>
        <v>225000</v>
      </c>
      <c r="F395" s="43">
        <f>+D395*E395</f>
        <v>270000</v>
      </c>
    </row>
    <row r="396" spans="1:6" ht="14.4" thickBot="1" x14ac:dyDescent="0.3">
      <c r="A396" s="28"/>
      <c r="B396" s="44"/>
      <c r="C396" s="44"/>
      <c r="D396" s="45" t="s">
        <v>10</v>
      </c>
      <c r="E396" s="44"/>
      <c r="F396" s="33">
        <f>SUM(F395:F395)</f>
        <v>270000</v>
      </c>
    </row>
    <row r="397" spans="1:6" x14ac:dyDescent="0.25">
      <c r="A397" s="34" t="s">
        <v>11</v>
      </c>
      <c r="B397" s="35" t="s">
        <v>78</v>
      </c>
      <c r="C397" s="36"/>
      <c r="D397" s="36"/>
      <c r="E397" s="36"/>
      <c r="F397" s="37"/>
    </row>
    <row r="398" spans="1:6" ht="14.4" thickBot="1" x14ac:dyDescent="0.3">
      <c r="A398" s="46"/>
      <c r="B398" s="47"/>
      <c r="C398" s="48"/>
      <c r="D398" s="49"/>
      <c r="E398" s="50"/>
      <c r="F398" s="51"/>
    </row>
    <row r="399" spans="1:6" ht="14.4" thickBot="1" x14ac:dyDescent="0.3">
      <c r="A399" s="28"/>
      <c r="B399" s="29"/>
      <c r="C399" s="30"/>
      <c r="D399" s="31" t="s">
        <v>12</v>
      </c>
      <c r="E399" s="32"/>
      <c r="F399" s="33">
        <f>SUM(F398)</f>
        <v>0</v>
      </c>
    </row>
    <row r="400" spans="1:6" x14ac:dyDescent="0.25">
      <c r="A400" s="34" t="s">
        <v>13</v>
      </c>
      <c r="B400" s="35" t="s">
        <v>14</v>
      </c>
      <c r="C400" s="52"/>
      <c r="D400" s="52"/>
      <c r="E400" s="53"/>
      <c r="F400" s="54">
        <f>+F393+F396+F399</f>
        <v>305625</v>
      </c>
    </row>
    <row r="401" spans="1:6" x14ac:dyDescent="0.25">
      <c r="A401" s="10" t="s">
        <v>15</v>
      </c>
      <c r="B401" s="11" t="s">
        <v>51</v>
      </c>
      <c r="C401" s="55"/>
      <c r="D401" s="55"/>
      <c r="E401" s="56"/>
      <c r="F401" s="57">
        <f>F400*15%</f>
        <v>45843.75</v>
      </c>
    </row>
    <row r="402" spans="1:6" ht="14.4" thickBot="1" x14ac:dyDescent="0.3">
      <c r="A402" s="58" t="s">
        <v>16</v>
      </c>
      <c r="B402" s="59" t="s">
        <v>17</v>
      </c>
      <c r="C402" s="60"/>
      <c r="D402" s="60"/>
      <c r="E402" s="61"/>
      <c r="F402" s="62">
        <f>SUM(F400:F401)</f>
        <v>351468.75</v>
      </c>
    </row>
    <row r="404" spans="1:6" ht="16.2" thickBot="1" x14ac:dyDescent="0.3">
      <c r="A404" s="71" t="s">
        <v>66</v>
      </c>
      <c r="B404" s="2" t="s">
        <v>107</v>
      </c>
      <c r="C404" s="3"/>
      <c r="D404" s="3"/>
      <c r="E404" s="3"/>
      <c r="F404" s="3"/>
    </row>
    <row r="405" spans="1:6" ht="28.2" thickBot="1" x14ac:dyDescent="0.3">
      <c r="A405" s="4" t="s">
        <v>2</v>
      </c>
      <c r="B405" s="5" t="s">
        <v>3</v>
      </c>
      <c r="C405" s="5" t="s">
        <v>0</v>
      </c>
      <c r="D405" s="5" t="s">
        <v>4</v>
      </c>
      <c r="E405" s="5" t="s">
        <v>5</v>
      </c>
      <c r="F405" s="6" t="s">
        <v>6</v>
      </c>
    </row>
    <row r="406" spans="1:6" x14ac:dyDescent="0.25">
      <c r="A406" s="7">
        <v>1</v>
      </c>
      <c r="B406" s="8">
        <v>2</v>
      </c>
      <c r="C406" s="8">
        <v>3</v>
      </c>
      <c r="D406" s="8">
        <v>4</v>
      </c>
      <c r="E406" s="8">
        <v>5</v>
      </c>
      <c r="F406" s="9">
        <v>6</v>
      </c>
    </row>
    <row r="407" spans="1:6" x14ac:dyDescent="0.25">
      <c r="A407" s="10" t="s">
        <v>1</v>
      </c>
      <c r="B407" s="11" t="s">
        <v>76</v>
      </c>
      <c r="C407" s="12"/>
      <c r="D407" s="12"/>
      <c r="E407" s="12"/>
      <c r="F407" s="13"/>
    </row>
    <row r="408" spans="1:6" x14ac:dyDescent="0.25">
      <c r="A408" s="14"/>
      <c r="B408" s="15" t="s">
        <v>40</v>
      </c>
      <c r="C408" s="16" t="s">
        <v>7</v>
      </c>
      <c r="D408" s="17">
        <v>0.3</v>
      </c>
      <c r="E408" s="18">
        <f>'HARGA BAHAN'!E4</f>
        <v>125000</v>
      </c>
      <c r="F408" s="19">
        <f>+D408*E408</f>
        <v>37500</v>
      </c>
    </row>
    <row r="409" spans="1:6" x14ac:dyDescent="0.25">
      <c r="A409" s="14"/>
      <c r="B409" s="20" t="s">
        <v>86</v>
      </c>
      <c r="C409" s="21" t="s">
        <v>7</v>
      </c>
      <c r="D409" s="22">
        <v>0.1</v>
      </c>
      <c r="E409" s="18">
        <f>'HARGA BAHAN'!E5</f>
        <v>160000</v>
      </c>
      <c r="F409" s="19">
        <f>+D409*E409</f>
        <v>16000</v>
      </c>
    </row>
    <row r="410" spans="1:6" x14ac:dyDescent="0.25">
      <c r="A410" s="14"/>
      <c r="B410" s="15" t="s">
        <v>87</v>
      </c>
      <c r="C410" s="16" t="s">
        <v>7</v>
      </c>
      <c r="D410" s="17">
        <v>0.01</v>
      </c>
      <c r="E410" s="18">
        <f>'HARGA BAHAN'!E6</f>
        <v>180000</v>
      </c>
      <c r="F410" s="19">
        <f>+D410*E410</f>
        <v>1800</v>
      </c>
    </row>
    <row r="411" spans="1:6" ht="14.4" thickBot="1" x14ac:dyDescent="0.3">
      <c r="A411" s="24"/>
      <c r="B411" s="25" t="s">
        <v>42</v>
      </c>
      <c r="C411" s="26" t="s">
        <v>7</v>
      </c>
      <c r="D411" s="27">
        <v>1.4999999999999999E-2</v>
      </c>
      <c r="E411" s="18">
        <f>'HARGA BAHAN'!E7</f>
        <v>175000</v>
      </c>
      <c r="F411" s="19">
        <f>+D411*E411</f>
        <v>2625</v>
      </c>
    </row>
    <row r="412" spans="1:6" ht="14.4" thickBot="1" x14ac:dyDescent="0.3">
      <c r="A412" s="28"/>
      <c r="B412" s="29"/>
      <c r="C412" s="30"/>
      <c r="D412" s="31" t="s">
        <v>8</v>
      </c>
      <c r="E412" s="32"/>
      <c r="F412" s="33">
        <f>SUM(F408:F411)</f>
        <v>57925</v>
      </c>
    </row>
    <row r="413" spans="1:6" x14ac:dyDescent="0.25">
      <c r="A413" s="34" t="s">
        <v>9</v>
      </c>
      <c r="B413" s="35" t="s">
        <v>77</v>
      </c>
      <c r="C413" s="36"/>
      <c r="D413" s="36"/>
      <c r="E413" s="36"/>
      <c r="F413" s="37"/>
    </row>
    <row r="414" spans="1:6" x14ac:dyDescent="0.25">
      <c r="A414" s="38"/>
      <c r="B414" s="39" t="s">
        <v>105</v>
      </c>
      <c r="C414" s="40" t="s">
        <v>20</v>
      </c>
      <c r="D414" s="75">
        <v>70</v>
      </c>
      <c r="E414" s="42">
        <f>'HARGA BAHAN'!E31</f>
        <v>1000</v>
      </c>
      <c r="F414" s="43">
        <f>+D414*E414</f>
        <v>70000</v>
      </c>
    </row>
    <row r="415" spans="1:6" x14ac:dyDescent="0.25">
      <c r="A415" s="68"/>
      <c r="B415" s="20" t="s">
        <v>85</v>
      </c>
      <c r="C415" s="21" t="s">
        <v>21</v>
      </c>
      <c r="D415" s="76">
        <v>18.95</v>
      </c>
      <c r="E415" s="23">
        <f>'HARGA BAHAN'!E13</f>
        <v>2000</v>
      </c>
      <c r="F415" s="19">
        <f>+D415*E415</f>
        <v>37900</v>
      </c>
    </row>
    <row r="416" spans="1:6" ht="16.2" thickBot="1" x14ac:dyDescent="0.3">
      <c r="A416" s="68"/>
      <c r="B416" s="20" t="s">
        <v>106</v>
      </c>
      <c r="C416" s="21" t="s">
        <v>24</v>
      </c>
      <c r="D416" s="76">
        <v>3.7999999999999999E-2</v>
      </c>
      <c r="E416" s="23">
        <f>'HARGA BAHAN'!E15</f>
        <v>210000</v>
      </c>
      <c r="F416" s="19">
        <f>+D416*E416</f>
        <v>7980</v>
      </c>
    </row>
    <row r="417" spans="1:6" ht="14.4" thickBot="1" x14ac:dyDescent="0.3">
      <c r="A417" s="28"/>
      <c r="B417" s="44"/>
      <c r="C417" s="44"/>
      <c r="D417" s="45" t="s">
        <v>10</v>
      </c>
      <c r="E417" s="44"/>
      <c r="F417" s="33">
        <f>SUM(F414:F416)</f>
        <v>115880</v>
      </c>
    </row>
    <row r="418" spans="1:6" x14ac:dyDescent="0.25">
      <c r="A418" s="34" t="s">
        <v>11</v>
      </c>
      <c r="B418" s="35" t="s">
        <v>78</v>
      </c>
      <c r="C418" s="36"/>
      <c r="D418" s="36"/>
      <c r="E418" s="36"/>
      <c r="F418" s="37"/>
    </row>
    <row r="419" spans="1:6" ht="14.4" thickBot="1" x14ac:dyDescent="0.3">
      <c r="A419" s="46"/>
      <c r="B419" s="47"/>
      <c r="C419" s="48"/>
      <c r="D419" s="49"/>
      <c r="E419" s="50"/>
      <c r="F419" s="51"/>
    </row>
    <row r="420" spans="1:6" ht="14.4" thickBot="1" x14ac:dyDescent="0.3">
      <c r="A420" s="28"/>
      <c r="B420" s="29"/>
      <c r="C420" s="30"/>
      <c r="D420" s="31" t="s">
        <v>12</v>
      </c>
      <c r="E420" s="32"/>
      <c r="F420" s="33">
        <f>SUM(F419)</f>
        <v>0</v>
      </c>
    </row>
    <row r="421" spans="1:6" x14ac:dyDescent="0.25">
      <c r="A421" s="34" t="s">
        <v>13</v>
      </c>
      <c r="B421" s="35" t="s">
        <v>14</v>
      </c>
      <c r="C421" s="52"/>
      <c r="D421" s="52"/>
      <c r="E421" s="53"/>
      <c r="F421" s="54">
        <f>+F412+F417+F420</f>
        <v>173805</v>
      </c>
    </row>
    <row r="422" spans="1:6" x14ac:dyDescent="0.25">
      <c r="A422" s="10" t="s">
        <v>15</v>
      </c>
      <c r="B422" s="11" t="s">
        <v>51</v>
      </c>
      <c r="C422" s="55"/>
      <c r="D422" s="55"/>
      <c r="E422" s="56"/>
      <c r="F422" s="57">
        <f>F421*15%</f>
        <v>26070.75</v>
      </c>
    </row>
    <row r="423" spans="1:6" ht="14.4" thickBot="1" x14ac:dyDescent="0.3">
      <c r="A423" s="58" t="s">
        <v>16</v>
      </c>
      <c r="B423" s="59" t="s">
        <v>17</v>
      </c>
      <c r="C423" s="60"/>
      <c r="D423" s="60"/>
      <c r="E423" s="61"/>
      <c r="F423" s="62">
        <f>SUM(F421:F422)</f>
        <v>199875.75</v>
      </c>
    </row>
    <row r="425" spans="1:6" ht="16.2" thickBot="1" x14ac:dyDescent="0.3">
      <c r="A425" s="71" t="s">
        <v>454</v>
      </c>
      <c r="B425" s="2" t="s">
        <v>455</v>
      </c>
      <c r="C425" s="3"/>
      <c r="D425" s="3"/>
      <c r="E425" s="3"/>
      <c r="F425" s="3"/>
    </row>
    <row r="426" spans="1:6" ht="28.2" thickBot="1" x14ac:dyDescent="0.3">
      <c r="A426" s="4" t="s">
        <v>2</v>
      </c>
      <c r="B426" s="5" t="s">
        <v>3</v>
      </c>
      <c r="C426" s="5" t="s">
        <v>0</v>
      </c>
      <c r="D426" s="5" t="s">
        <v>4</v>
      </c>
      <c r="E426" s="5" t="s">
        <v>5</v>
      </c>
      <c r="F426" s="6" t="s">
        <v>6</v>
      </c>
    </row>
    <row r="427" spans="1:6" x14ac:dyDescent="0.25">
      <c r="A427" s="7">
        <v>1</v>
      </c>
      <c r="B427" s="8">
        <v>2</v>
      </c>
      <c r="C427" s="8">
        <v>3</v>
      </c>
      <c r="D427" s="8">
        <v>4</v>
      </c>
      <c r="E427" s="8">
        <v>5</v>
      </c>
      <c r="F427" s="9">
        <v>6</v>
      </c>
    </row>
    <row r="428" spans="1:6" x14ac:dyDescent="0.25">
      <c r="A428" s="10" t="s">
        <v>1</v>
      </c>
      <c r="B428" s="11" t="s">
        <v>76</v>
      </c>
      <c r="C428" s="12"/>
      <c r="D428" s="12"/>
      <c r="E428" s="12"/>
      <c r="F428" s="13"/>
    </row>
    <row r="429" spans="1:6" x14ac:dyDescent="0.25">
      <c r="A429" s="14"/>
      <c r="B429" s="15" t="s">
        <v>40</v>
      </c>
      <c r="C429" s="16" t="s">
        <v>7</v>
      </c>
      <c r="D429" s="17">
        <v>0.3</v>
      </c>
      <c r="E429" s="18">
        <f>'HARGA BAHAN'!E4</f>
        <v>125000</v>
      </c>
      <c r="F429" s="19">
        <f>+D429*E429</f>
        <v>37500</v>
      </c>
    </row>
    <row r="430" spans="1:6" x14ac:dyDescent="0.25">
      <c r="A430" s="14"/>
      <c r="B430" s="20" t="s">
        <v>86</v>
      </c>
      <c r="C430" s="21" t="s">
        <v>7</v>
      </c>
      <c r="D430" s="22">
        <v>0.1</v>
      </c>
      <c r="E430" s="18">
        <f>'HARGA BAHAN'!E5</f>
        <v>160000</v>
      </c>
      <c r="F430" s="19">
        <f>+D430*E430</f>
        <v>16000</v>
      </c>
    </row>
    <row r="431" spans="1:6" x14ac:dyDescent="0.25">
      <c r="A431" s="14"/>
      <c r="B431" s="15" t="s">
        <v>87</v>
      </c>
      <c r="C431" s="16" t="s">
        <v>7</v>
      </c>
      <c r="D431" s="17">
        <v>0.01</v>
      </c>
      <c r="E431" s="18">
        <f>'HARGA BAHAN'!E6</f>
        <v>180000</v>
      </c>
      <c r="F431" s="19">
        <f>+D431*E431</f>
        <v>1800</v>
      </c>
    </row>
    <row r="432" spans="1:6" ht="14.4" thickBot="1" x14ac:dyDescent="0.3">
      <c r="A432" s="24"/>
      <c r="B432" s="25" t="s">
        <v>42</v>
      </c>
      <c r="C432" s="26" t="s">
        <v>7</v>
      </c>
      <c r="D432" s="27">
        <v>1.4999999999999999E-2</v>
      </c>
      <c r="E432" s="18">
        <f>'HARGA BAHAN'!E7</f>
        <v>175000</v>
      </c>
      <c r="F432" s="19">
        <f>+D432*E432</f>
        <v>2625</v>
      </c>
    </row>
    <row r="433" spans="1:6" ht="14.4" thickBot="1" x14ac:dyDescent="0.3">
      <c r="A433" s="28"/>
      <c r="B433" s="29"/>
      <c r="C433" s="30"/>
      <c r="D433" s="31" t="s">
        <v>8</v>
      </c>
      <c r="E433" s="32"/>
      <c r="F433" s="33">
        <f>SUM(F429:F432)</f>
        <v>57925</v>
      </c>
    </row>
    <row r="434" spans="1:6" x14ac:dyDescent="0.25">
      <c r="A434" s="34" t="s">
        <v>9</v>
      </c>
      <c r="B434" s="35" t="s">
        <v>77</v>
      </c>
      <c r="C434" s="36"/>
      <c r="D434" s="36"/>
      <c r="E434" s="36"/>
      <c r="F434" s="37"/>
    </row>
    <row r="435" spans="1:6" x14ac:dyDescent="0.25">
      <c r="A435" s="38"/>
      <c r="B435" s="39" t="s">
        <v>105</v>
      </c>
      <c r="C435" s="40" t="s">
        <v>20</v>
      </c>
      <c r="D435" s="75">
        <v>70</v>
      </c>
      <c r="E435" s="42">
        <f>'HARGA BAHAN'!E31</f>
        <v>1000</v>
      </c>
      <c r="F435" s="43">
        <f>+D435*E435</f>
        <v>70000</v>
      </c>
    </row>
    <row r="436" spans="1:6" x14ac:dyDescent="0.25">
      <c r="A436" s="68"/>
      <c r="B436" s="20" t="s">
        <v>85</v>
      </c>
      <c r="C436" s="21" t="s">
        <v>21</v>
      </c>
      <c r="D436" s="76">
        <v>11.5</v>
      </c>
      <c r="E436" s="23">
        <f>'HARGA BAHAN'!E13</f>
        <v>2000</v>
      </c>
      <c r="F436" s="19">
        <f>+D436*E436</f>
        <v>23000</v>
      </c>
    </row>
    <row r="437" spans="1:6" ht="16.2" thickBot="1" x14ac:dyDescent="0.3">
      <c r="A437" s="68"/>
      <c r="B437" s="20" t="s">
        <v>106</v>
      </c>
      <c r="C437" s="21" t="s">
        <v>24</v>
      </c>
      <c r="D437" s="76">
        <v>4.2999999999999997E-2</v>
      </c>
      <c r="E437" s="23">
        <f>'HARGA BAHAN'!E15</f>
        <v>210000</v>
      </c>
      <c r="F437" s="19">
        <f>+D437*E437</f>
        <v>9030</v>
      </c>
    </row>
    <row r="438" spans="1:6" ht="14.4" thickBot="1" x14ac:dyDescent="0.3">
      <c r="A438" s="28"/>
      <c r="B438" s="44"/>
      <c r="C438" s="44"/>
      <c r="D438" s="45" t="s">
        <v>10</v>
      </c>
      <c r="E438" s="44"/>
      <c r="F438" s="33">
        <f>SUM(F435:F437)</f>
        <v>102030</v>
      </c>
    </row>
    <row r="439" spans="1:6" x14ac:dyDescent="0.25">
      <c r="A439" s="34" t="s">
        <v>11</v>
      </c>
      <c r="B439" s="35" t="s">
        <v>78</v>
      </c>
      <c r="C439" s="36"/>
      <c r="D439" s="36"/>
      <c r="E439" s="36"/>
      <c r="F439" s="37"/>
    </row>
    <row r="440" spans="1:6" ht="14.4" thickBot="1" x14ac:dyDescent="0.3">
      <c r="A440" s="46"/>
      <c r="B440" s="47"/>
      <c r="C440" s="48"/>
      <c r="D440" s="49"/>
      <c r="E440" s="50"/>
      <c r="F440" s="51"/>
    </row>
    <row r="441" spans="1:6" ht="14.4" thickBot="1" x14ac:dyDescent="0.3">
      <c r="A441" s="28"/>
      <c r="B441" s="29"/>
      <c r="C441" s="30"/>
      <c r="D441" s="31" t="s">
        <v>12</v>
      </c>
      <c r="E441" s="32"/>
      <c r="F441" s="33">
        <f>SUM(F440)</f>
        <v>0</v>
      </c>
    </row>
    <row r="442" spans="1:6" x14ac:dyDescent="0.25">
      <c r="A442" s="34" t="s">
        <v>13</v>
      </c>
      <c r="B442" s="35" t="s">
        <v>14</v>
      </c>
      <c r="C442" s="52"/>
      <c r="D442" s="52"/>
      <c r="E442" s="53"/>
      <c r="F442" s="54">
        <f>+F433+F438+F441</f>
        <v>159955</v>
      </c>
    </row>
    <row r="443" spans="1:6" x14ac:dyDescent="0.25">
      <c r="A443" s="10" t="s">
        <v>15</v>
      </c>
      <c r="B443" s="11" t="s">
        <v>51</v>
      </c>
      <c r="C443" s="55"/>
      <c r="D443" s="55"/>
      <c r="E443" s="56"/>
      <c r="F443" s="57">
        <f>F442*15%</f>
        <v>23993.25</v>
      </c>
    </row>
    <row r="444" spans="1:6" ht="14.4" thickBot="1" x14ac:dyDescent="0.3">
      <c r="A444" s="58" t="s">
        <v>16</v>
      </c>
      <c r="B444" s="59" t="s">
        <v>17</v>
      </c>
      <c r="C444" s="60"/>
      <c r="D444" s="60"/>
      <c r="E444" s="61"/>
      <c r="F444" s="62">
        <f>SUM(F442:F443)</f>
        <v>183948.25</v>
      </c>
    </row>
    <row r="446" spans="1:6" ht="16.2" thickBot="1" x14ac:dyDescent="0.3">
      <c r="A446" s="71" t="s">
        <v>65</v>
      </c>
      <c r="B446" s="2" t="s">
        <v>108</v>
      </c>
      <c r="C446" s="3"/>
      <c r="D446" s="3"/>
      <c r="E446" s="3"/>
      <c r="F446" s="3"/>
    </row>
    <row r="447" spans="1:6" ht="28.2" thickBot="1" x14ac:dyDescent="0.3">
      <c r="A447" s="4" t="s">
        <v>2</v>
      </c>
      <c r="B447" s="5" t="s">
        <v>3</v>
      </c>
      <c r="C447" s="5" t="s">
        <v>0</v>
      </c>
      <c r="D447" s="5" t="s">
        <v>4</v>
      </c>
      <c r="E447" s="5" t="s">
        <v>5</v>
      </c>
      <c r="F447" s="6" t="s">
        <v>6</v>
      </c>
    </row>
    <row r="448" spans="1:6" x14ac:dyDescent="0.25">
      <c r="A448" s="7">
        <v>1</v>
      </c>
      <c r="B448" s="8">
        <v>2</v>
      </c>
      <c r="C448" s="8">
        <v>3</v>
      </c>
      <c r="D448" s="8">
        <v>4</v>
      </c>
      <c r="E448" s="8">
        <v>5</v>
      </c>
      <c r="F448" s="9">
        <v>6</v>
      </c>
    </row>
    <row r="449" spans="1:6" x14ac:dyDescent="0.25">
      <c r="A449" s="10" t="s">
        <v>1</v>
      </c>
      <c r="B449" s="11" t="s">
        <v>76</v>
      </c>
      <c r="C449" s="12"/>
      <c r="D449" s="12"/>
      <c r="E449" s="12"/>
      <c r="F449" s="13"/>
    </row>
    <row r="450" spans="1:6" x14ac:dyDescent="0.25">
      <c r="A450" s="14"/>
      <c r="B450" s="15" t="s">
        <v>40</v>
      </c>
      <c r="C450" s="16" t="s">
        <v>7</v>
      </c>
      <c r="D450" s="17">
        <v>0.3</v>
      </c>
      <c r="E450" s="18">
        <f>'HARGA BAHAN'!E4</f>
        <v>125000</v>
      </c>
      <c r="F450" s="19">
        <f>+D450*E450</f>
        <v>37500</v>
      </c>
    </row>
    <row r="451" spans="1:6" ht="14.4" thickBot="1" x14ac:dyDescent="0.3">
      <c r="A451" s="24"/>
      <c r="B451" s="25" t="s">
        <v>42</v>
      </c>
      <c r="C451" s="26" t="s">
        <v>7</v>
      </c>
      <c r="D451" s="27">
        <v>0.01</v>
      </c>
      <c r="E451" s="18">
        <f>'HARGA BAHAN'!E7</f>
        <v>175000</v>
      </c>
      <c r="F451" s="19">
        <f>+D451*E451</f>
        <v>1750</v>
      </c>
    </row>
    <row r="452" spans="1:6" ht="14.4" thickBot="1" x14ac:dyDescent="0.3">
      <c r="A452" s="28"/>
      <c r="B452" s="29"/>
      <c r="C452" s="30"/>
      <c r="D452" s="31" t="s">
        <v>8</v>
      </c>
      <c r="E452" s="32"/>
      <c r="F452" s="33">
        <f>SUM(F450:F451)</f>
        <v>39250</v>
      </c>
    </row>
    <row r="453" spans="1:6" x14ac:dyDescent="0.25">
      <c r="A453" s="34" t="s">
        <v>9</v>
      </c>
      <c r="B453" s="35" t="s">
        <v>77</v>
      </c>
      <c r="C453" s="36"/>
      <c r="D453" s="36"/>
      <c r="E453" s="36"/>
      <c r="F453" s="37"/>
    </row>
    <row r="454" spans="1:6" ht="16.2" thickBot="1" x14ac:dyDescent="0.3">
      <c r="A454" s="38"/>
      <c r="B454" s="39" t="s">
        <v>82</v>
      </c>
      <c r="C454" s="40" t="s">
        <v>24</v>
      </c>
      <c r="D454" s="75">
        <v>1.2</v>
      </c>
      <c r="E454" s="42">
        <f>'HARGA BAHAN'!E11</f>
        <v>180000</v>
      </c>
      <c r="F454" s="43">
        <f>+D454*E454</f>
        <v>216000</v>
      </c>
    </row>
    <row r="455" spans="1:6" ht="14.4" thickBot="1" x14ac:dyDescent="0.3">
      <c r="A455" s="28"/>
      <c r="B455" s="44"/>
      <c r="C455" s="44"/>
      <c r="D455" s="45" t="s">
        <v>10</v>
      </c>
      <c r="E455" s="44"/>
      <c r="F455" s="33">
        <f>SUM(F454:F454)</f>
        <v>216000</v>
      </c>
    </row>
    <row r="456" spans="1:6" x14ac:dyDescent="0.25">
      <c r="A456" s="34" t="s">
        <v>11</v>
      </c>
      <c r="B456" s="35" t="s">
        <v>78</v>
      </c>
      <c r="C456" s="36"/>
      <c r="D456" s="36"/>
      <c r="E456" s="36"/>
      <c r="F456" s="37"/>
    </row>
    <row r="457" spans="1:6" ht="14.4" thickBot="1" x14ac:dyDescent="0.3">
      <c r="A457" s="46"/>
      <c r="B457" s="47"/>
      <c r="C457" s="48"/>
      <c r="D457" s="49"/>
      <c r="E457" s="50"/>
      <c r="F457" s="51"/>
    </row>
    <row r="458" spans="1:6" ht="14.4" thickBot="1" x14ac:dyDescent="0.3">
      <c r="A458" s="28"/>
      <c r="B458" s="29"/>
      <c r="C458" s="30"/>
      <c r="D458" s="31" t="s">
        <v>12</v>
      </c>
      <c r="E458" s="32"/>
      <c r="F458" s="33">
        <f>SUM(F457)</f>
        <v>0</v>
      </c>
    </row>
    <row r="459" spans="1:6" x14ac:dyDescent="0.25">
      <c r="A459" s="34" t="s">
        <v>13</v>
      </c>
      <c r="B459" s="35" t="s">
        <v>14</v>
      </c>
      <c r="C459" s="52"/>
      <c r="D459" s="52"/>
      <c r="E459" s="53"/>
      <c r="F459" s="54">
        <f>+F452+F455+F458</f>
        <v>255250</v>
      </c>
    </row>
    <row r="460" spans="1:6" x14ac:dyDescent="0.25">
      <c r="A460" s="10" t="s">
        <v>15</v>
      </c>
      <c r="B460" s="11" t="s">
        <v>51</v>
      </c>
      <c r="C460" s="55"/>
      <c r="D460" s="55"/>
      <c r="E460" s="56"/>
      <c r="F460" s="57">
        <f>F459*15%</f>
        <v>38287.5</v>
      </c>
    </row>
    <row r="461" spans="1:6" ht="14.4" thickBot="1" x14ac:dyDescent="0.3">
      <c r="A461" s="58" t="s">
        <v>16</v>
      </c>
      <c r="B461" s="59" t="s">
        <v>17</v>
      </c>
      <c r="C461" s="60"/>
      <c r="D461" s="60"/>
      <c r="E461" s="61"/>
      <c r="F461" s="62">
        <f>SUM(F459:F460)</f>
        <v>293537.5</v>
      </c>
    </row>
    <row r="463" spans="1:6" ht="16.2" thickBot="1" x14ac:dyDescent="0.3">
      <c r="A463" s="71" t="s">
        <v>109</v>
      </c>
      <c r="B463" s="2" t="s">
        <v>167</v>
      </c>
      <c r="C463" s="3"/>
      <c r="D463" s="3"/>
      <c r="E463" s="3"/>
      <c r="F463" s="3"/>
    </row>
    <row r="464" spans="1:6" ht="28.2" thickBot="1" x14ac:dyDescent="0.3">
      <c r="A464" s="4" t="s">
        <v>2</v>
      </c>
      <c r="B464" s="5" t="s">
        <v>3</v>
      </c>
      <c r="C464" s="5" t="s">
        <v>0</v>
      </c>
      <c r="D464" s="5" t="s">
        <v>4</v>
      </c>
      <c r="E464" s="5" t="s">
        <v>5</v>
      </c>
      <c r="F464" s="6" t="s">
        <v>6</v>
      </c>
    </row>
    <row r="465" spans="1:6" x14ac:dyDescent="0.25">
      <c r="A465" s="7">
        <v>1</v>
      </c>
      <c r="B465" s="8">
        <v>2</v>
      </c>
      <c r="C465" s="8">
        <v>3</v>
      </c>
      <c r="D465" s="8">
        <v>4</v>
      </c>
      <c r="E465" s="8">
        <v>5</v>
      </c>
      <c r="F465" s="9">
        <v>6</v>
      </c>
    </row>
    <row r="466" spans="1:6" x14ac:dyDescent="0.25">
      <c r="A466" s="10" t="s">
        <v>1</v>
      </c>
      <c r="B466" s="11" t="s">
        <v>76</v>
      </c>
      <c r="C466" s="12"/>
      <c r="D466" s="12"/>
      <c r="E466" s="12"/>
      <c r="F466" s="13"/>
    </row>
    <row r="467" spans="1:6" x14ac:dyDescent="0.25">
      <c r="A467" s="14"/>
      <c r="B467" s="15" t="s">
        <v>40</v>
      </c>
      <c r="C467" s="16" t="s">
        <v>7</v>
      </c>
      <c r="D467" s="17">
        <v>0.52</v>
      </c>
      <c r="E467" s="18">
        <f>'HARGA BAHAN'!E4</f>
        <v>125000</v>
      </c>
      <c r="F467" s="19">
        <f>+D467*E467</f>
        <v>65000</v>
      </c>
    </row>
    <row r="468" spans="1:6" x14ac:dyDescent="0.25">
      <c r="A468" s="14"/>
      <c r="B468" s="20" t="s">
        <v>86</v>
      </c>
      <c r="C468" s="21" t="s">
        <v>7</v>
      </c>
      <c r="D468" s="22">
        <v>0.26</v>
      </c>
      <c r="E468" s="18">
        <f>'HARGA BAHAN'!E5</f>
        <v>160000</v>
      </c>
      <c r="F468" s="19">
        <f>+D468*E468</f>
        <v>41600</v>
      </c>
    </row>
    <row r="469" spans="1:6" x14ac:dyDescent="0.25">
      <c r="A469" s="14"/>
      <c r="B469" s="15" t="s">
        <v>87</v>
      </c>
      <c r="C469" s="16" t="s">
        <v>7</v>
      </c>
      <c r="D469" s="17">
        <v>2.5999999999999999E-2</v>
      </c>
      <c r="E469" s="18">
        <f>'HARGA BAHAN'!E6</f>
        <v>180000</v>
      </c>
      <c r="F469" s="19">
        <f>+D469*E469</f>
        <v>4680</v>
      </c>
    </row>
    <row r="470" spans="1:6" ht="14.4" thickBot="1" x14ac:dyDescent="0.3">
      <c r="A470" s="24"/>
      <c r="B470" s="25" t="s">
        <v>42</v>
      </c>
      <c r="C470" s="26" t="s">
        <v>7</v>
      </c>
      <c r="D470" s="27">
        <v>2.5999999999999999E-2</v>
      </c>
      <c r="E470" s="18">
        <f>'HARGA BAHAN'!E7</f>
        <v>175000</v>
      </c>
      <c r="F470" s="19">
        <f>+D470*E470</f>
        <v>4550</v>
      </c>
    </row>
    <row r="471" spans="1:6" ht="14.4" thickBot="1" x14ac:dyDescent="0.3">
      <c r="A471" s="28"/>
      <c r="B471" s="29"/>
      <c r="C471" s="30"/>
      <c r="D471" s="31" t="s">
        <v>8</v>
      </c>
      <c r="E471" s="32"/>
      <c r="F471" s="33">
        <f>SUM(F467:F470)</f>
        <v>115830</v>
      </c>
    </row>
    <row r="472" spans="1:6" x14ac:dyDescent="0.25">
      <c r="A472" s="34" t="s">
        <v>9</v>
      </c>
      <c r="B472" s="35" t="s">
        <v>77</v>
      </c>
      <c r="C472" s="36"/>
      <c r="D472" s="36"/>
      <c r="E472" s="36"/>
      <c r="F472" s="37"/>
    </row>
    <row r="473" spans="1:6" ht="15.6" x14ac:dyDescent="0.25">
      <c r="A473" s="38"/>
      <c r="B473" s="39" t="s">
        <v>98</v>
      </c>
      <c r="C473" s="40" t="s">
        <v>24</v>
      </c>
      <c r="D473" s="75">
        <v>4.4999999999999998E-2</v>
      </c>
      <c r="E473" s="42">
        <f>'HARGA BAHAN'!E27</f>
        <v>5200000</v>
      </c>
      <c r="F473" s="43">
        <f>+D473*E473</f>
        <v>234000</v>
      </c>
    </row>
    <row r="474" spans="1:6" x14ac:dyDescent="0.25">
      <c r="A474" s="68"/>
      <c r="B474" s="20" t="s">
        <v>46</v>
      </c>
      <c r="C474" s="21" t="s">
        <v>21</v>
      </c>
      <c r="D474" s="76">
        <v>0.3</v>
      </c>
      <c r="E474" s="23">
        <f>'HARGA BAHAN'!E28</f>
        <v>25500</v>
      </c>
      <c r="F474" s="19">
        <f>+D474*E474</f>
        <v>7650</v>
      </c>
    </row>
    <row r="475" spans="1:6" ht="14.4" thickBot="1" x14ac:dyDescent="0.3">
      <c r="A475" s="68"/>
      <c r="B475" s="20" t="s">
        <v>100</v>
      </c>
      <c r="C475" s="21" t="s">
        <v>88</v>
      </c>
      <c r="D475" s="76">
        <v>0.1</v>
      </c>
      <c r="E475" s="23">
        <f>'HARGA BAHAN'!E29</f>
        <v>21000</v>
      </c>
      <c r="F475" s="19">
        <f>+D475*E475</f>
        <v>2100</v>
      </c>
    </row>
    <row r="476" spans="1:6" ht="14.4" thickBot="1" x14ac:dyDescent="0.3">
      <c r="A476" s="28"/>
      <c r="B476" s="44"/>
      <c r="C476" s="44"/>
      <c r="D476" s="45" t="s">
        <v>10</v>
      </c>
      <c r="E476" s="44"/>
      <c r="F476" s="33">
        <f>SUM(F473:F475)</f>
        <v>243750</v>
      </c>
    </row>
    <row r="477" spans="1:6" x14ac:dyDescent="0.25">
      <c r="A477" s="34" t="s">
        <v>11</v>
      </c>
      <c r="B477" s="35" t="s">
        <v>78</v>
      </c>
      <c r="C477" s="36"/>
      <c r="D477" s="36"/>
      <c r="E477" s="36"/>
      <c r="F477" s="37"/>
    </row>
    <row r="478" spans="1:6" ht="14.4" thickBot="1" x14ac:dyDescent="0.3">
      <c r="A478" s="46"/>
      <c r="B478" s="47"/>
      <c r="C478" s="48"/>
      <c r="D478" s="49"/>
      <c r="E478" s="50"/>
      <c r="F478" s="51"/>
    </row>
    <row r="479" spans="1:6" ht="14.4" thickBot="1" x14ac:dyDescent="0.3">
      <c r="A479" s="28"/>
      <c r="B479" s="29"/>
      <c r="C479" s="30"/>
      <c r="D479" s="31" t="s">
        <v>12</v>
      </c>
      <c r="E479" s="32"/>
      <c r="F479" s="33">
        <f>SUM(F478)</f>
        <v>0</v>
      </c>
    </row>
    <row r="480" spans="1:6" x14ac:dyDescent="0.25">
      <c r="A480" s="34" t="s">
        <v>13</v>
      </c>
      <c r="B480" s="35" t="s">
        <v>14</v>
      </c>
      <c r="C480" s="52"/>
      <c r="D480" s="52"/>
      <c r="E480" s="53"/>
      <c r="F480" s="54">
        <f>+F471+F476+F479</f>
        <v>359580</v>
      </c>
    </row>
    <row r="481" spans="1:6" x14ac:dyDescent="0.25">
      <c r="A481" s="10" t="s">
        <v>15</v>
      </c>
      <c r="B481" s="11" t="s">
        <v>51</v>
      </c>
      <c r="C481" s="55"/>
      <c r="D481" s="55"/>
      <c r="E481" s="56"/>
      <c r="F481" s="57">
        <f>F480*15%</f>
        <v>53937</v>
      </c>
    </row>
    <row r="482" spans="1:6" ht="14.4" thickBot="1" x14ac:dyDescent="0.3">
      <c r="A482" s="58" t="s">
        <v>16</v>
      </c>
      <c r="B482" s="59" t="s">
        <v>17</v>
      </c>
      <c r="C482" s="60"/>
      <c r="D482" s="60"/>
      <c r="E482" s="61"/>
      <c r="F482" s="62">
        <f>SUM(F480:F481)</f>
        <v>413517</v>
      </c>
    </row>
    <row r="483" spans="1:6" ht="14.4" thickBot="1" x14ac:dyDescent="0.3">
      <c r="A483" s="152"/>
      <c r="B483" s="153" t="s">
        <v>169</v>
      </c>
      <c r="C483" s="31"/>
      <c r="D483" s="31"/>
      <c r="E483" s="31"/>
      <c r="F483" s="154">
        <f>F482/2</f>
        <v>206758.5</v>
      </c>
    </row>
    <row r="485" spans="1:6" ht="16.2" thickBot="1" x14ac:dyDescent="0.3">
      <c r="A485" s="71" t="s">
        <v>110</v>
      </c>
      <c r="B485" s="2" t="s">
        <v>166</v>
      </c>
      <c r="C485" s="3"/>
      <c r="D485" s="3"/>
      <c r="E485" s="3"/>
      <c r="F485" s="3"/>
    </row>
    <row r="486" spans="1:6" ht="28.2" thickBot="1" x14ac:dyDescent="0.3">
      <c r="A486" s="4" t="s">
        <v>2</v>
      </c>
      <c r="B486" s="5" t="s">
        <v>3</v>
      </c>
      <c r="C486" s="5" t="s">
        <v>0</v>
      </c>
      <c r="D486" s="5" t="s">
        <v>4</v>
      </c>
      <c r="E486" s="5" t="s">
        <v>5</v>
      </c>
      <c r="F486" s="6" t="s">
        <v>6</v>
      </c>
    </row>
    <row r="487" spans="1:6" x14ac:dyDescent="0.25">
      <c r="A487" s="7">
        <v>1</v>
      </c>
      <c r="B487" s="8">
        <v>2</v>
      </c>
      <c r="C487" s="8">
        <v>3</v>
      </c>
      <c r="D487" s="8">
        <v>4</v>
      </c>
      <c r="E487" s="8">
        <v>5</v>
      </c>
      <c r="F487" s="9">
        <v>6</v>
      </c>
    </row>
    <row r="488" spans="1:6" x14ac:dyDescent="0.25">
      <c r="A488" s="10" t="s">
        <v>1</v>
      </c>
      <c r="B488" s="11" t="s">
        <v>76</v>
      </c>
      <c r="C488" s="12"/>
      <c r="D488" s="12"/>
      <c r="E488" s="12"/>
      <c r="F488" s="13"/>
    </row>
    <row r="489" spans="1:6" x14ac:dyDescent="0.25">
      <c r="A489" s="14"/>
      <c r="B489" s="15" t="s">
        <v>40</v>
      </c>
      <c r="C489" s="16" t="s">
        <v>7</v>
      </c>
      <c r="D489" s="17">
        <v>0.66</v>
      </c>
      <c r="E489" s="18">
        <f>'HARGA BAHAN'!E4</f>
        <v>125000</v>
      </c>
      <c r="F489" s="19">
        <f>+D489*E489</f>
        <v>82500</v>
      </c>
    </row>
    <row r="490" spans="1:6" x14ac:dyDescent="0.25">
      <c r="A490" s="14"/>
      <c r="B490" s="20" t="s">
        <v>86</v>
      </c>
      <c r="C490" s="21" t="s">
        <v>7</v>
      </c>
      <c r="D490" s="22">
        <v>0.33</v>
      </c>
      <c r="E490" s="18">
        <f>'HARGA BAHAN'!E5</f>
        <v>160000</v>
      </c>
      <c r="F490" s="19">
        <f>+D490*E490</f>
        <v>52800</v>
      </c>
    </row>
    <row r="491" spans="1:6" x14ac:dyDescent="0.25">
      <c r="A491" s="14"/>
      <c r="B491" s="15" t="s">
        <v>87</v>
      </c>
      <c r="C491" s="16" t="s">
        <v>7</v>
      </c>
      <c r="D491" s="17">
        <v>3.3000000000000002E-2</v>
      </c>
      <c r="E491" s="18">
        <f>'HARGA BAHAN'!E6</f>
        <v>180000</v>
      </c>
      <c r="F491" s="19">
        <f>+D491*E491</f>
        <v>5940</v>
      </c>
    </row>
    <row r="492" spans="1:6" ht="14.4" thickBot="1" x14ac:dyDescent="0.3">
      <c r="A492" s="24"/>
      <c r="B492" s="25" t="s">
        <v>42</v>
      </c>
      <c r="C492" s="26" t="s">
        <v>7</v>
      </c>
      <c r="D492" s="27">
        <v>3.3000000000000002E-2</v>
      </c>
      <c r="E492" s="18">
        <f>'HARGA BAHAN'!E7</f>
        <v>175000</v>
      </c>
      <c r="F492" s="19">
        <f>+D492*E492</f>
        <v>5775</v>
      </c>
    </row>
    <row r="493" spans="1:6" ht="14.4" thickBot="1" x14ac:dyDescent="0.3">
      <c r="A493" s="28"/>
      <c r="B493" s="29"/>
      <c r="C493" s="30"/>
      <c r="D493" s="31" t="s">
        <v>8</v>
      </c>
      <c r="E493" s="32"/>
      <c r="F493" s="33">
        <f>SUM(F489:F492)</f>
        <v>147015</v>
      </c>
    </row>
    <row r="494" spans="1:6" x14ac:dyDescent="0.25">
      <c r="A494" s="34" t="s">
        <v>9</v>
      </c>
      <c r="B494" s="35" t="s">
        <v>77</v>
      </c>
      <c r="C494" s="36"/>
      <c r="D494" s="36"/>
      <c r="E494" s="36"/>
      <c r="F494" s="37"/>
    </row>
    <row r="495" spans="1:6" ht="15.6" x14ac:dyDescent="0.25">
      <c r="A495" s="38"/>
      <c r="B495" s="39" t="s">
        <v>98</v>
      </c>
      <c r="C495" s="40" t="s">
        <v>24</v>
      </c>
      <c r="D495" s="75">
        <v>0.04</v>
      </c>
      <c r="E495" s="42">
        <f>'HARGA BAHAN'!E27</f>
        <v>5200000</v>
      </c>
      <c r="F495" s="43">
        <f t="shared" ref="F495:F500" si="7">+D495*E495</f>
        <v>208000</v>
      </c>
    </row>
    <row r="496" spans="1:6" x14ac:dyDescent="0.25">
      <c r="A496" s="68"/>
      <c r="B496" s="20" t="s">
        <v>111</v>
      </c>
      <c r="C496" s="21" t="s">
        <v>21</v>
      </c>
      <c r="D496" s="76">
        <v>0.4</v>
      </c>
      <c r="E496" s="23">
        <f>'HARGA BAHAN'!E28</f>
        <v>25500</v>
      </c>
      <c r="F496" s="19">
        <f t="shared" si="7"/>
        <v>10200</v>
      </c>
    </row>
    <row r="497" spans="1:6" x14ac:dyDescent="0.25">
      <c r="A497" s="68"/>
      <c r="B497" s="20" t="s">
        <v>102</v>
      </c>
      <c r="C497" s="21" t="s">
        <v>88</v>
      </c>
      <c r="D497" s="76">
        <v>0.2</v>
      </c>
      <c r="E497" s="23">
        <f>'HARGA BAHAN'!E29</f>
        <v>21000</v>
      </c>
      <c r="F497" s="19">
        <f t="shared" si="7"/>
        <v>4200</v>
      </c>
    </row>
    <row r="498" spans="1:6" ht="15.6" x14ac:dyDescent="0.25">
      <c r="A498" s="68"/>
      <c r="B498" s="20" t="s">
        <v>112</v>
      </c>
      <c r="C498" s="21" t="s">
        <v>24</v>
      </c>
      <c r="D498" s="76">
        <v>1.4999999999999999E-2</v>
      </c>
      <c r="E498" s="23">
        <f>'HARGA BAHAN'!E33</f>
        <v>7100000</v>
      </c>
      <c r="F498" s="19">
        <f t="shared" si="7"/>
        <v>106500</v>
      </c>
    </row>
    <row r="499" spans="1:6" x14ac:dyDescent="0.25">
      <c r="A499" s="68"/>
      <c r="B499" s="20" t="s">
        <v>113</v>
      </c>
      <c r="C499" s="21" t="s">
        <v>53</v>
      </c>
      <c r="D499" s="76">
        <v>0.35</v>
      </c>
      <c r="E499" s="23">
        <f>'HARGA BAHAN'!E36</f>
        <v>242800</v>
      </c>
      <c r="F499" s="19">
        <f t="shared" si="7"/>
        <v>84980</v>
      </c>
    </row>
    <row r="500" spans="1:6" ht="14.4" thickBot="1" x14ac:dyDescent="0.3">
      <c r="A500" s="68"/>
      <c r="B500" s="20" t="s">
        <v>147</v>
      </c>
      <c r="C500" s="21" t="s">
        <v>114</v>
      </c>
      <c r="D500" s="76">
        <v>2</v>
      </c>
      <c r="E500" s="23">
        <f>'HARGA BAHAN'!E38</f>
        <v>91519</v>
      </c>
      <c r="F500" s="19">
        <f t="shared" si="7"/>
        <v>183038</v>
      </c>
    </row>
    <row r="501" spans="1:6" ht="14.4" thickBot="1" x14ac:dyDescent="0.3">
      <c r="A501" s="28"/>
      <c r="B501" s="44"/>
      <c r="C501" s="44"/>
      <c r="D501" s="45" t="s">
        <v>10</v>
      </c>
      <c r="E501" s="44"/>
      <c r="F501" s="33">
        <f>SUM(F495:F500)</f>
        <v>596918</v>
      </c>
    </row>
    <row r="502" spans="1:6" x14ac:dyDescent="0.25">
      <c r="A502" s="34" t="s">
        <v>11</v>
      </c>
      <c r="B502" s="35" t="s">
        <v>78</v>
      </c>
      <c r="C502" s="36"/>
      <c r="D502" s="36"/>
      <c r="E502" s="36"/>
      <c r="F502" s="37"/>
    </row>
    <row r="503" spans="1:6" ht="14.4" thickBot="1" x14ac:dyDescent="0.3">
      <c r="A503" s="46"/>
      <c r="B503" s="47"/>
      <c r="C503" s="48"/>
      <c r="D503" s="49"/>
      <c r="E503" s="50"/>
      <c r="F503" s="51"/>
    </row>
    <row r="504" spans="1:6" ht="14.4" thickBot="1" x14ac:dyDescent="0.3">
      <c r="A504" s="28"/>
      <c r="B504" s="29"/>
      <c r="C504" s="30"/>
      <c r="D504" s="31" t="s">
        <v>12</v>
      </c>
      <c r="E504" s="32"/>
      <c r="F504" s="33">
        <f>SUM(F503)</f>
        <v>0</v>
      </c>
    </row>
    <row r="505" spans="1:6" x14ac:dyDescent="0.25">
      <c r="A505" s="34" t="s">
        <v>13</v>
      </c>
      <c r="B505" s="35" t="s">
        <v>14</v>
      </c>
      <c r="C505" s="52"/>
      <c r="D505" s="52"/>
      <c r="E505" s="53"/>
      <c r="F505" s="54">
        <f>+F493+F501+F504</f>
        <v>743933</v>
      </c>
    </row>
    <row r="506" spans="1:6" x14ac:dyDescent="0.25">
      <c r="A506" s="10" t="s">
        <v>15</v>
      </c>
      <c r="B506" s="11" t="s">
        <v>51</v>
      </c>
      <c r="C506" s="55"/>
      <c r="D506" s="55"/>
      <c r="E506" s="56"/>
      <c r="F506" s="57">
        <f>F505*15%</f>
        <v>111589.95</v>
      </c>
    </row>
    <row r="507" spans="1:6" ht="14.4" thickBot="1" x14ac:dyDescent="0.3">
      <c r="A507" s="58" t="s">
        <v>16</v>
      </c>
      <c r="B507" s="59" t="s">
        <v>17</v>
      </c>
      <c r="C507" s="60"/>
      <c r="D507" s="60"/>
      <c r="E507" s="61"/>
      <c r="F507" s="62">
        <f>SUM(F505:F506)</f>
        <v>855522.95</v>
      </c>
    </row>
    <row r="508" spans="1:6" ht="14.4" thickBot="1" x14ac:dyDescent="0.3">
      <c r="A508" s="152"/>
      <c r="B508" s="153" t="s">
        <v>169</v>
      </c>
      <c r="C508" s="31"/>
      <c r="D508" s="31"/>
      <c r="E508" s="31"/>
      <c r="F508" s="154">
        <f>F507/2</f>
        <v>427761.47499999998</v>
      </c>
    </row>
    <row r="510" spans="1:6" ht="16.2" thickBot="1" x14ac:dyDescent="0.3">
      <c r="A510" s="71" t="s">
        <v>115</v>
      </c>
      <c r="B510" s="2" t="s">
        <v>165</v>
      </c>
      <c r="C510" s="3"/>
      <c r="D510" s="3"/>
      <c r="E510" s="3"/>
      <c r="F510" s="3"/>
    </row>
    <row r="511" spans="1:6" ht="28.2" thickBot="1" x14ac:dyDescent="0.3">
      <c r="A511" s="4" t="s">
        <v>2</v>
      </c>
      <c r="B511" s="5" t="s">
        <v>3</v>
      </c>
      <c r="C511" s="5" t="s">
        <v>0</v>
      </c>
      <c r="D511" s="5" t="s">
        <v>4</v>
      </c>
      <c r="E511" s="5" t="s">
        <v>5</v>
      </c>
      <c r="F511" s="6" t="s">
        <v>6</v>
      </c>
    </row>
    <row r="512" spans="1:6" x14ac:dyDescent="0.25">
      <c r="A512" s="7">
        <v>1</v>
      </c>
      <c r="B512" s="8">
        <v>2</v>
      </c>
      <c r="C512" s="8">
        <v>3</v>
      </c>
      <c r="D512" s="8">
        <v>4</v>
      </c>
      <c r="E512" s="8">
        <v>5</v>
      </c>
      <c r="F512" s="9">
        <v>6</v>
      </c>
    </row>
    <row r="513" spans="1:6" x14ac:dyDescent="0.25">
      <c r="A513" s="10" t="s">
        <v>1</v>
      </c>
      <c r="B513" s="11" t="s">
        <v>76</v>
      </c>
      <c r="C513" s="12"/>
      <c r="D513" s="12"/>
      <c r="E513" s="12"/>
      <c r="F513" s="13"/>
    </row>
    <row r="514" spans="1:6" x14ac:dyDescent="0.25">
      <c r="A514" s="14"/>
      <c r="B514" s="15" t="s">
        <v>40</v>
      </c>
      <c r="C514" s="16" t="s">
        <v>7</v>
      </c>
      <c r="D514" s="17">
        <v>0.66</v>
      </c>
      <c r="E514" s="18">
        <f>'HARGA BAHAN'!E4</f>
        <v>125000</v>
      </c>
      <c r="F514" s="19">
        <f>+D514*E514</f>
        <v>82500</v>
      </c>
    </row>
    <row r="515" spans="1:6" x14ac:dyDescent="0.25">
      <c r="A515" s="14"/>
      <c r="B515" s="20" t="s">
        <v>86</v>
      </c>
      <c r="C515" s="21" t="s">
        <v>7</v>
      </c>
      <c r="D515" s="22">
        <v>0.33</v>
      </c>
      <c r="E515" s="18">
        <f>'HARGA BAHAN'!E5</f>
        <v>160000</v>
      </c>
      <c r="F515" s="19">
        <f>+D515*E515</f>
        <v>52800</v>
      </c>
    </row>
    <row r="516" spans="1:6" x14ac:dyDescent="0.25">
      <c r="A516" s="14"/>
      <c r="B516" s="15" t="s">
        <v>87</v>
      </c>
      <c r="C516" s="16" t="s">
        <v>7</v>
      </c>
      <c r="D516" s="17">
        <v>3.3000000000000002E-2</v>
      </c>
      <c r="E516" s="18">
        <f>'HARGA BAHAN'!E6</f>
        <v>180000</v>
      </c>
      <c r="F516" s="19">
        <f>+D516*E516</f>
        <v>5940</v>
      </c>
    </row>
    <row r="517" spans="1:6" ht="14.4" thickBot="1" x14ac:dyDescent="0.3">
      <c r="A517" s="24"/>
      <c r="B517" s="25" t="s">
        <v>42</v>
      </c>
      <c r="C517" s="26" t="s">
        <v>7</v>
      </c>
      <c r="D517" s="27">
        <v>3.3000000000000002E-2</v>
      </c>
      <c r="E517" s="18">
        <f>'HARGA BAHAN'!E7</f>
        <v>175000</v>
      </c>
      <c r="F517" s="19">
        <f>+D517*E517</f>
        <v>5775</v>
      </c>
    </row>
    <row r="518" spans="1:6" ht="14.4" thickBot="1" x14ac:dyDescent="0.3">
      <c r="A518" s="28"/>
      <c r="B518" s="29"/>
      <c r="C518" s="30"/>
      <c r="D518" s="31" t="s">
        <v>8</v>
      </c>
      <c r="E518" s="32"/>
      <c r="F518" s="33">
        <f>SUM(F514:F517)</f>
        <v>147015</v>
      </c>
    </row>
    <row r="519" spans="1:6" x14ac:dyDescent="0.25">
      <c r="A519" s="34" t="s">
        <v>9</v>
      </c>
      <c r="B519" s="35" t="s">
        <v>77</v>
      </c>
      <c r="C519" s="36"/>
      <c r="D519" s="36"/>
      <c r="E519" s="36"/>
      <c r="F519" s="37"/>
    </row>
    <row r="520" spans="1:6" ht="15.6" x14ac:dyDescent="0.25">
      <c r="A520" s="38"/>
      <c r="B520" s="39" t="s">
        <v>98</v>
      </c>
      <c r="C520" s="40" t="s">
        <v>24</v>
      </c>
      <c r="D520" s="75">
        <v>0.04</v>
      </c>
      <c r="E520" s="42">
        <f>'HARGA BAHAN'!E27</f>
        <v>5200000</v>
      </c>
      <c r="F520" s="43">
        <f t="shared" ref="F520:F525" si="8">+D520*E520</f>
        <v>208000</v>
      </c>
    </row>
    <row r="521" spans="1:6" x14ac:dyDescent="0.25">
      <c r="A521" s="68"/>
      <c r="B521" s="20" t="s">
        <v>111</v>
      </c>
      <c r="C521" s="21" t="s">
        <v>21</v>
      </c>
      <c r="D521" s="76">
        <v>0.4</v>
      </c>
      <c r="E521" s="23">
        <f>'HARGA BAHAN'!E28</f>
        <v>25500</v>
      </c>
      <c r="F521" s="19">
        <f t="shared" si="8"/>
        <v>10200</v>
      </c>
    </row>
    <row r="522" spans="1:6" x14ac:dyDescent="0.25">
      <c r="A522" s="68"/>
      <c r="B522" s="20" t="s">
        <v>102</v>
      </c>
      <c r="C522" s="21" t="s">
        <v>88</v>
      </c>
      <c r="D522" s="76">
        <v>0.2</v>
      </c>
      <c r="E522" s="23">
        <f>'HARGA BAHAN'!E29</f>
        <v>21000</v>
      </c>
      <c r="F522" s="19">
        <f t="shared" si="8"/>
        <v>4200</v>
      </c>
    </row>
    <row r="523" spans="1:6" ht="15.6" x14ac:dyDescent="0.25">
      <c r="A523" s="68"/>
      <c r="B523" s="20" t="s">
        <v>112</v>
      </c>
      <c r="C523" s="21" t="s">
        <v>24</v>
      </c>
      <c r="D523" s="76">
        <v>1.7999999999999999E-2</v>
      </c>
      <c r="E523" s="23">
        <f>'HARGA BAHAN'!E33</f>
        <v>7100000</v>
      </c>
      <c r="F523" s="19">
        <f t="shared" si="8"/>
        <v>127799.99999999999</v>
      </c>
    </row>
    <row r="524" spans="1:6" x14ac:dyDescent="0.25">
      <c r="A524" s="68"/>
      <c r="B524" s="20" t="s">
        <v>113</v>
      </c>
      <c r="C524" s="21" t="s">
        <v>53</v>
      </c>
      <c r="D524" s="76">
        <v>0.35</v>
      </c>
      <c r="E524" s="23">
        <f>'HARGA BAHAN'!E36</f>
        <v>242800</v>
      </c>
      <c r="F524" s="19">
        <f t="shared" si="8"/>
        <v>84980</v>
      </c>
    </row>
    <row r="525" spans="1:6" ht="14.4" thickBot="1" x14ac:dyDescent="0.3">
      <c r="A525" s="68"/>
      <c r="B525" s="20" t="s">
        <v>147</v>
      </c>
      <c r="C525" s="21" t="s">
        <v>114</v>
      </c>
      <c r="D525" s="76">
        <v>2</v>
      </c>
      <c r="E525" s="23">
        <f>'HARGA BAHAN'!E38</f>
        <v>91519</v>
      </c>
      <c r="F525" s="19">
        <f t="shared" si="8"/>
        <v>183038</v>
      </c>
    </row>
    <row r="526" spans="1:6" ht="14.4" thickBot="1" x14ac:dyDescent="0.3">
      <c r="A526" s="28"/>
      <c r="B526" s="44"/>
      <c r="C526" s="44"/>
      <c r="D526" s="45" t="s">
        <v>10</v>
      </c>
      <c r="E526" s="44"/>
      <c r="F526" s="33">
        <f>SUM(F520:F525)</f>
        <v>618218</v>
      </c>
    </row>
    <row r="527" spans="1:6" x14ac:dyDescent="0.25">
      <c r="A527" s="34" t="s">
        <v>11</v>
      </c>
      <c r="B527" s="35" t="s">
        <v>78</v>
      </c>
      <c r="C527" s="36"/>
      <c r="D527" s="36"/>
      <c r="E527" s="36"/>
      <c r="F527" s="37"/>
    </row>
    <row r="528" spans="1:6" ht="14.4" thickBot="1" x14ac:dyDescent="0.3">
      <c r="A528" s="46"/>
      <c r="B528" s="47"/>
      <c r="C528" s="48"/>
      <c r="D528" s="49"/>
      <c r="E528" s="50"/>
      <c r="F528" s="51"/>
    </row>
    <row r="529" spans="1:6" ht="14.4" thickBot="1" x14ac:dyDescent="0.3">
      <c r="A529" s="28"/>
      <c r="B529" s="29"/>
      <c r="C529" s="30"/>
      <c r="D529" s="31" t="s">
        <v>12</v>
      </c>
      <c r="E529" s="32"/>
      <c r="F529" s="33">
        <f>SUM(F528)</f>
        <v>0</v>
      </c>
    </row>
    <row r="530" spans="1:6" x14ac:dyDescent="0.25">
      <c r="A530" s="34" t="s">
        <v>13</v>
      </c>
      <c r="B530" s="35" t="s">
        <v>14</v>
      </c>
      <c r="C530" s="52"/>
      <c r="D530" s="52"/>
      <c r="E530" s="53"/>
      <c r="F530" s="54">
        <f>+F518+F526+F529</f>
        <v>765233</v>
      </c>
    </row>
    <row r="531" spans="1:6" x14ac:dyDescent="0.25">
      <c r="A531" s="10" t="s">
        <v>15</v>
      </c>
      <c r="B531" s="11" t="s">
        <v>51</v>
      </c>
      <c r="C531" s="55"/>
      <c r="D531" s="55"/>
      <c r="E531" s="56"/>
      <c r="F531" s="57">
        <f>F530*15%</f>
        <v>114784.95</v>
      </c>
    </row>
    <row r="532" spans="1:6" ht="14.4" thickBot="1" x14ac:dyDescent="0.3">
      <c r="A532" s="58" t="s">
        <v>16</v>
      </c>
      <c r="B532" s="59" t="s">
        <v>17</v>
      </c>
      <c r="C532" s="60"/>
      <c r="D532" s="60"/>
      <c r="E532" s="61"/>
      <c r="F532" s="62">
        <f>SUM(F530:F531)</f>
        <v>880017.95</v>
      </c>
    </row>
    <row r="533" spans="1:6" ht="14.4" thickBot="1" x14ac:dyDescent="0.3">
      <c r="A533" s="152"/>
      <c r="B533" s="153" t="s">
        <v>169</v>
      </c>
      <c r="C533" s="31"/>
      <c r="D533" s="31"/>
      <c r="E533" s="31"/>
      <c r="F533" s="154">
        <f>F532/2</f>
        <v>440008.97499999998</v>
      </c>
    </row>
    <row r="535" spans="1:6" ht="14.4" thickBot="1" x14ac:dyDescent="0.3">
      <c r="A535" s="71" t="s">
        <v>376</v>
      </c>
      <c r="B535" s="2" t="s">
        <v>377</v>
      </c>
      <c r="C535" s="3"/>
      <c r="D535" s="3"/>
      <c r="E535" s="3"/>
      <c r="F535" s="3"/>
    </row>
    <row r="536" spans="1:6" ht="28.2" thickBot="1" x14ac:dyDescent="0.3">
      <c r="A536" s="4" t="s">
        <v>2</v>
      </c>
      <c r="B536" s="5" t="s">
        <v>3</v>
      </c>
      <c r="C536" s="5" t="s">
        <v>0</v>
      </c>
      <c r="D536" s="5" t="s">
        <v>4</v>
      </c>
      <c r="E536" s="5" t="s">
        <v>5</v>
      </c>
      <c r="F536" s="6" t="s">
        <v>6</v>
      </c>
    </row>
    <row r="537" spans="1:6" x14ac:dyDescent="0.25">
      <c r="A537" s="7">
        <v>1</v>
      </c>
      <c r="B537" s="8">
        <v>2</v>
      </c>
      <c r="C537" s="8">
        <v>3</v>
      </c>
      <c r="D537" s="8">
        <v>4</v>
      </c>
      <c r="E537" s="8">
        <v>5</v>
      </c>
      <c r="F537" s="9">
        <v>6</v>
      </c>
    </row>
    <row r="538" spans="1:6" x14ac:dyDescent="0.25">
      <c r="A538" s="10" t="s">
        <v>1</v>
      </c>
      <c r="B538" s="11" t="s">
        <v>76</v>
      </c>
      <c r="C538" s="12"/>
      <c r="D538" s="12"/>
      <c r="E538" s="12"/>
      <c r="F538" s="13"/>
    </row>
    <row r="539" spans="1:6" x14ac:dyDescent="0.25">
      <c r="A539" s="14"/>
      <c r="B539" s="15" t="s">
        <v>40</v>
      </c>
      <c r="C539" s="16" t="s">
        <v>7</v>
      </c>
      <c r="D539" s="17">
        <v>0.66</v>
      </c>
      <c r="E539" s="18">
        <f t="shared" ref="E539:E542" si="9">E514</f>
        <v>125000</v>
      </c>
      <c r="F539" s="19">
        <f>+D539*E539</f>
        <v>82500</v>
      </c>
    </row>
    <row r="540" spans="1:6" x14ac:dyDescent="0.25">
      <c r="A540" s="14"/>
      <c r="B540" s="20" t="s">
        <v>86</v>
      </c>
      <c r="C540" s="21" t="s">
        <v>7</v>
      </c>
      <c r="D540" s="22">
        <v>0.33</v>
      </c>
      <c r="E540" s="18">
        <f t="shared" si="9"/>
        <v>160000</v>
      </c>
      <c r="F540" s="19">
        <f>+D540*E540</f>
        <v>52800</v>
      </c>
    </row>
    <row r="541" spans="1:6" x14ac:dyDescent="0.25">
      <c r="A541" s="14"/>
      <c r="B541" s="15" t="s">
        <v>87</v>
      </c>
      <c r="C541" s="16" t="s">
        <v>7</v>
      </c>
      <c r="D541" s="17">
        <v>3.3000000000000002E-2</v>
      </c>
      <c r="E541" s="18">
        <f t="shared" si="9"/>
        <v>180000</v>
      </c>
      <c r="F541" s="19">
        <f>+D541*E541</f>
        <v>5940</v>
      </c>
    </row>
    <row r="542" spans="1:6" ht="14.4" thickBot="1" x14ac:dyDescent="0.3">
      <c r="A542" s="24"/>
      <c r="B542" s="25" t="s">
        <v>42</v>
      </c>
      <c r="C542" s="26" t="s">
        <v>7</v>
      </c>
      <c r="D542" s="27">
        <v>3.3000000000000002E-2</v>
      </c>
      <c r="E542" s="18">
        <f t="shared" si="9"/>
        <v>175000</v>
      </c>
      <c r="F542" s="19">
        <f>+D542*E542</f>
        <v>5775</v>
      </c>
    </row>
    <row r="543" spans="1:6" ht="14.4" thickBot="1" x14ac:dyDescent="0.3">
      <c r="A543" s="28"/>
      <c r="B543" s="29"/>
      <c r="C543" s="30"/>
      <c r="D543" s="31" t="s">
        <v>8</v>
      </c>
      <c r="E543" s="32"/>
      <c r="F543" s="33">
        <f>SUM(F539:F542)</f>
        <v>147015</v>
      </c>
    </row>
    <row r="544" spans="1:6" x14ac:dyDescent="0.25">
      <c r="A544" s="34" t="s">
        <v>9</v>
      </c>
      <c r="B544" s="35" t="s">
        <v>77</v>
      </c>
      <c r="C544" s="36"/>
      <c r="D544" s="36"/>
      <c r="E544" s="36"/>
      <c r="F544" s="37"/>
    </row>
    <row r="545" spans="1:6" ht="15.6" x14ac:dyDescent="0.25">
      <c r="A545" s="38"/>
      <c r="B545" s="39" t="s">
        <v>98</v>
      </c>
      <c r="C545" s="40" t="s">
        <v>24</v>
      </c>
      <c r="D545" s="75">
        <v>0.04</v>
      </c>
      <c r="E545" s="42">
        <f t="shared" ref="E545:E550" si="10">E520</f>
        <v>5200000</v>
      </c>
      <c r="F545" s="43">
        <f t="shared" ref="F545:F550" si="11">+D545*E545</f>
        <v>208000</v>
      </c>
    </row>
    <row r="546" spans="1:6" x14ac:dyDescent="0.25">
      <c r="A546" s="68"/>
      <c r="B546" s="20" t="s">
        <v>111</v>
      </c>
      <c r="C546" s="21" t="s">
        <v>21</v>
      </c>
      <c r="D546" s="76">
        <v>0.4</v>
      </c>
      <c r="E546" s="23">
        <f t="shared" si="10"/>
        <v>25500</v>
      </c>
      <c r="F546" s="19">
        <f t="shared" si="11"/>
        <v>10200</v>
      </c>
    </row>
    <row r="547" spans="1:6" x14ac:dyDescent="0.25">
      <c r="A547" s="68"/>
      <c r="B547" s="20" t="s">
        <v>102</v>
      </c>
      <c r="C547" s="21" t="s">
        <v>88</v>
      </c>
      <c r="D547" s="76">
        <v>0.2</v>
      </c>
      <c r="E547" s="23">
        <f t="shared" si="10"/>
        <v>21000</v>
      </c>
      <c r="F547" s="19">
        <f t="shared" si="11"/>
        <v>4200</v>
      </c>
    </row>
    <row r="548" spans="1:6" ht="15.6" x14ac:dyDescent="0.25">
      <c r="A548" s="68"/>
      <c r="B548" s="20" t="s">
        <v>378</v>
      </c>
      <c r="C548" s="21" t="s">
        <v>24</v>
      </c>
      <c r="D548" s="76">
        <v>1.4999999999999999E-2</v>
      </c>
      <c r="E548" s="23">
        <f>E520</f>
        <v>5200000</v>
      </c>
      <c r="F548" s="19">
        <f t="shared" si="11"/>
        <v>78000</v>
      </c>
    </row>
    <row r="549" spans="1:6" x14ac:dyDescent="0.25">
      <c r="A549" s="68"/>
      <c r="B549" s="20" t="s">
        <v>113</v>
      </c>
      <c r="C549" s="21" t="s">
        <v>53</v>
      </c>
      <c r="D549" s="76">
        <v>0.35</v>
      </c>
      <c r="E549" s="23">
        <f t="shared" si="10"/>
        <v>242800</v>
      </c>
      <c r="F549" s="19">
        <f t="shared" si="11"/>
        <v>84980</v>
      </c>
    </row>
    <row r="550" spans="1:6" ht="14.4" thickBot="1" x14ac:dyDescent="0.3">
      <c r="A550" s="68"/>
      <c r="B550" s="20" t="s">
        <v>147</v>
      </c>
      <c r="C550" s="21" t="s">
        <v>114</v>
      </c>
      <c r="D550" s="76">
        <v>6</v>
      </c>
      <c r="E550" s="23">
        <f t="shared" si="10"/>
        <v>91519</v>
      </c>
      <c r="F550" s="19">
        <f t="shared" si="11"/>
        <v>549114</v>
      </c>
    </row>
    <row r="551" spans="1:6" ht="14.4" thickBot="1" x14ac:dyDescent="0.3">
      <c r="A551" s="28"/>
      <c r="B551" s="44"/>
      <c r="C551" s="44"/>
      <c r="D551" s="45" t="s">
        <v>10</v>
      </c>
      <c r="E551" s="44"/>
      <c r="F551" s="33">
        <f>SUM(F545:F550)</f>
        <v>934494</v>
      </c>
    </row>
    <row r="552" spans="1:6" x14ac:dyDescent="0.25">
      <c r="A552" s="34" t="s">
        <v>11</v>
      </c>
      <c r="B552" s="35" t="s">
        <v>78</v>
      </c>
      <c r="C552" s="36"/>
      <c r="D552" s="36"/>
      <c r="E552" s="36"/>
      <c r="F552" s="37"/>
    </row>
    <row r="553" spans="1:6" ht="14.4" thickBot="1" x14ac:dyDescent="0.3">
      <c r="A553" s="46"/>
      <c r="B553" s="47"/>
      <c r="C553" s="48"/>
      <c r="D553" s="49"/>
      <c r="E553" s="50"/>
      <c r="F553" s="51"/>
    </row>
    <row r="554" spans="1:6" ht="14.4" thickBot="1" x14ac:dyDescent="0.3">
      <c r="A554" s="28"/>
      <c r="B554" s="29"/>
      <c r="C554" s="30"/>
      <c r="D554" s="31" t="s">
        <v>12</v>
      </c>
      <c r="E554" s="32"/>
      <c r="F554" s="33">
        <f>SUM(F553)</f>
        <v>0</v>
      </c>
    </row>
    <row r="555" spans="1:6" x14ac:dyDescent="0.25">
      <c r="A555" s="34" t="s">
        <v>13</v>
      </c>
      <c r="B555" s="35" t="s">
        <v>14</v>
      </c>
      <c r="C555" s="52"/>
      <c r="D555" s="52"/>
      <c r="E555" s="53"/>
      <c r="F555" s="54">
        <f>+F543+F551+F554</f>
        <v>1081509</v>
      </c>
    </row>
    <row r="556" spans="1:6" x14ac:dyDescent="0.25">
      <c r="A556" s="10" t="s">
        <v>15</v>
      </c>
      <c r="B556" s="11" t="s">
        <v>51</v>
      </c>
      <c r="C556" s="55"/>
      <c r="D556" s="55"/>
      <c r="E556" s="56"/>
      <c r="F556" s="57">
        <f>F555*15%</f>
        <v>162226.35</v>
      </c>
    </row>
    <row r="557" spans="1:6" ht="14.4" thickBot="1" x14ac:dyDescent="0.3">
      <c r="A557" s="58" t="s">
        <v>16</v>
      </c>
      <c r="B557" s="59" t="s">
        <v>17</v>
      </c>
      <c r="C557" s="60"/>
      <c r="D557" s="60"/>
      <c r="E557" s="61"/>
      <c r="F557" s="62">
        <f>SUM(F555:F556)</f>
        <v>1243735.3500000001</v>
      </c>
    </row>
    <row r="559" spans="1:6" ht="14.4" thickBot="1" x14ac:dyDescent="0.3">
      <c r="A559" s="71" t="s">
        <v>369</v>
      </c>
      <c r="B559" s="2" t="s">
        <v>370</v>
      </c>
      <c r="C559" s="3"/>
      <c r="D559" s="3"/>
      <c r="E559" s="3"/>
      <c r="F559" s="3"/>
    </row>
    <row r="560" spans="1:6" ht="28.2" thickBot="1" x14ac:dyDescent="0.3">
      <c r="A560" s="4" t="s">
        <v>2</v>
      </c>
      <c r="B560" s="5" t="s">
        <v>3</v>
      </c>
      <c r="C560" s="5" t="s">
        <v>0</v>
      </c>
      <c r="D560" s="5" t="s">
        <v>4</v>
      </c>
      <c r="E560" s="5" t="s">
        <v>5</v>
      </c>
      <c r="F560" s="6" t="s">
        <v>6</v>
      </c>
    </row>
    <row r="561" spans="1:6" x14ac:dyDescent="0.25">
      <c r="A561" s="7">
        <v>1</v>
      </c>
      <c r="B561" s="8">
        <v>2</v>
      </c>
      <c r="C561" s="8">
        <v>3</v>
      </c>
      <c r="D561" s="8">
        <v>4</v>
      </c>
      <c r="E561" s="8">
        <v>5</v>
      </c>
      <c r="F561" s="9">
        <v>6</v>
      </c>
    </row>
    <row r="562" spans="1:6" x14ac:dyDescent="0.25">
      <c r="A562" s="10" t="s">
        <v>1</v>
      </c>
      <c r="B562" s="11" t="s">
        <v>76</v>
      </c>
      <c r="C562" s="12"/>
      <c r="D562" s="12"/>
      <c r="E562" s="12"/>
      <c r="F562" s="13"/>
    </row>
    <row r="563" spans="1:6" x14ac:dyDescent="0.25">
      <c r="A563" s="14"/>
      <c r="B563" s="15" t="s">
        <v>40</v>
      </c>
      <c r="C563" s="16" t="s">
        <v>7</v>
      </c>
      <c r="D563" s="17">
        <v>0.66</v>
      </c>
      <c r="E563" s="18">
        <f>'HARGA BAHAN'!E4</f>
        <v>125000</v>
      </c>
      <c r="F563" s="19">
        <f>+D563*E563</f>
        <v>82500</v>
      </c>
    </row>
    <row r="564" spans="1:6" x14ac:dyDescent="0.25">
      <c r="A564" s="14"/>
      <c r="B564" s="20" t="s">
        <v>86</v>
      </c>
      <c r="C564" s="21" t="s">
        <v>7</v>
      </c>
      <c r="D564" s="22">
        <v>0.33</v>
      </c>
      <c r="E564" s="18">
        <f>'HARGA BAHAN'!E5</f>
        <v>160000</v>
      </c>
      <c r="F564" s="19">
        <f>+D564*E564</f>
        <v>52800</v>
      </c>
    </row>
    <row r="565" spans="1:6" x14ac:dyDescent="0.25">
      <c r="A565" s="14"/>
      <c r="B565" s="15" t="s">
        <v>87</v>
      </c>
      <c r="C565" s="16" t="s">
        <v>7</v>
      </c>
      <c r="D565" s="17">
        <v>3.3000000000000002E-2</v>
      </c>
      <c r="E565" s="18">
        <f>'HARGA BAHAN'!E6</f>
        <v>180000</v>
      </c>
      <c r="F565" s="19">
        <f>+D565*E565</f>
        <v>5940</v>
      </c>
    </row>
    <row r="566" spans="1:6" ht="14.4" thickBot="1" x14ac:dyDescent="0.3">
      <c r="A566" s="24"/>
      <c r="B566" s="25" t="s">
        <v>42</v>
      </c>
      <c r="C566" s="26" t="s">
        <v>7</v>
      </c>
      <c r="D566" s="27">
        <v>3.3000000000000002E-2</v>
      </c>
      <c r="E566" s="18">
        <f>'HARGA BAHAN'!E7</f>
        <v>175000</v>
      </c>
      <c r="F566" s="19">
        <f>+D566*E566</f>
        <v>5775</v>
      </c>
    </row>
    <row r="567" spans="1:6" ht="14.4" thickBot="1" x14ac:dyDescent="0.3">
      <c r="A567" s="28"/>
      <c r="B567" s="29"/>
      <c r="C567" s="30"/>
      <c r="D567" s="31" t="s">
        <v>8</v>
      </c>
      <c r="E567" s="32"/>
      <c r="F567" s="33">
        <f>SUM(F563:F566)</f>
        <v>147015</v>
      </c>
    </row>
    <row r="568" spans="1:6" x14ac:dyDescent="0.25">
      <c r="A568" s="34" t="s">
        <v>9</v>
      </c>
      <c r="B568" s="35" t="s">
        <v>77</v>
      </c>
      <c r="C568" s="36"/>
      <c r="D568" s="36"/>
      <c r="E568" s="36"/>
      <c r="F568" s="37"/>
    </row>
    <row r="569" spans="1:6" x14ac:dyDescent="0.25">
      <c r="A569" s="38"/>
      <c r="B569" s="39" t="s">
        <v>371</v>
      </c>
      <c r="C569" s="40" t="s">
        <v>240</v>
      </c>
      <c r="D569" s="75">
        <v>0.03</v>
      </c>
      <c r="E569" s="42">
        <f>'HARGA BAHAN'!E27</f>
        <v>5200000</v>
      </c>
      <c r="F569" s="43">
        <f t="shared" ref="F569:F574" si="12">+D569*E569</f>
        <v>156000</v>
      </c>
    </row>
    <row r="570" spans="1:6" x14ac:dyDescent="0.25">
      <c r="A570" s="68"/>
      <c r="B570" s="20" t="s">
        <v>372</v>
      </c>
      <c r="C570" s="21" t="s">
        <v>21</v>
      </c>
      <c r="D570" s="76">
        <v>0.4</v>
      </c>
      <c r="E570" s="23">
        <f>'HARGA BAHAN'!E28</f>
        <v>25500</v>
      </c>
      <c r="F570" s="19">
        <f t="shared" si="12"/>
        <v>10200</v>
      </c>
    </row>
    <row r="571" spans="1:6" x14ac:dyDescent="0.25">
      <c r="A571" s="68"/>
      <c r="B571" s="20" t="s">
        <v>102</v>
      </c>
      <c r="C571" s="21" t="s">
        <v>21</v>
      </c>
      <c r="D571" s="76">
        <v>0.15</v>
      </c>
      <c r="E571" s="23">
        <f>'HARGA BAHAN'!E29</f>
        <v>21000</v>
      </c>
      <c r="F571" s="19">
        <f t="shared" si="12"/>
        <v>3150</v>
      </c>
    </row>
    <row r="572" spans="1:6" x14ac:dyDescent="0.25">
      <c r="A572" s="68"/>
      <c r="B572" s="20" t="s">
        <v>373</v>
      </c>
      <c r="C572" s="21" t="s">
        <v>240</v>
      </c>
      <c r="D572" s="76">
        <v>1.4999999999999999E-2</v>
      </c>
      <c r="E572" s="23">
        <f>'HARGA BAHAN'!E27</f>
        <v>5200000</v>
      </c>
      <c r="F572" s="19">
        <f t="shared" si="12"/>
        <v>78000</v>
      </c>
    </row>
    <row r="573" spans="1:6" x14ac:dyDescent="0.25">
      <c r="A573" s="68"/>
      <c r="B573" s="20" t="s">
        <v>374</v>
      </c>
      <c r="C573" s="21" t="s">
        <v>53</v>
      </c>
      <c r="D573" s="76">
        <v>0.35</v>
      </c>
      <c r="E573" s="23">
        <f>'HARGA BAHAN'!E36</f>
        <v>242800</v>
      </c>
      <c r="F573" s="19">
        <f t="shared" si="12"/>
        <v>84980</v>
      </c>
    </row>
    <row r="574" spans="1:6" ht="14.4" thickBot="1" x14ac:dyDescent="0.3">
      <c r="A574" s="68"/>
      <c r="B574" s="20" t="s">
        <v>375</v>
      </c>
      <c r="C574" s="21" t="s">
        <v>25</v>
      </c>
      <c r="D574" s="76">
        <v>2</v>
      </c>
      <c r="E574" s="23">
        <f>'HARGA BAHAN'!E38</f>
        <v>91519</v>
      </c>
      <c r="F574" s="19">
        <f t="shared" si="12"/>
        <v>183038</v>
      </c>
    </row>
    <row r="575" spans="1:6" ht="14.4" thickBot="1" x14ac:dyDescent="0.3">
      <c r="A575" s="28"/>
      <c r="B575" s="44"/>
      <c r="C575" s="44"/>
      <c r="D575" s="45" t="s">
        <v>10</v>
      </c>
      <c r="E575" s="44"/>
      <c r="F575" s="33">
        <f>SUM(F569:F574)</f>
        <v>515368</v>
      </c>
    </row>
    <row r="576" spans="1:6" x14ac:dyDescent="0.25">
      <c r="A576" s="34" t="s">
        <v>11</v>
      </c>
      <c r="B576" s="35" t="s">
        <v>78</v>
      </c>
      <c r="C576" s="36"/>
      <c r="D576" s="36"/>
      <c r="E576" s="36"/>
      <c r="F576" s="37"/>
    </row>
    <row r="577" spans="1:6" ht="14.4" thickBot="1" x14ac:dyDescent="0.3">
      <c r="A577" s="46"/>
      <c r="B577" s="47"/>
      <c r="C577" s="48"/>
      <c r="D577" s="49"/>
      <c r="E577" s="50"/>
      <c r="F577" s="51"/>
    </row>
    <row r="578" spans="1:6" ht="14.4" thickBot="1" x14ac:dyDescent="0.3">
      <c r="A578" s="28"/>
      <c r="B578" s="29"/>
      <c r="C578" s="30"/>
      <c r="D578" s="31" t="s">
        <v>12</v>
      </c>
      <c r="E578" s="32"/>
      <c r="F578" s="33">
        <f>SUM(F577)</f>
        <v>0</v>
      </c>
    </row>
    <row r="579" spans="1:6" x14ac:dyDescent="0.25">
      <c r="A579" s="34" t="s">
        <v>13</v>
      </c>
      <c r="B579" s="35" t="s">
        <v>14</v>
      </c>
      <c r="C579" s="52"/>
      <c r="D579" s="52"/>
      <c r="E579" s="53"/>
      <c r="F579" s="54">
        <f>+F567+F575+F578</f>
        <v>662383</v>
      </c>
    </row>
    <row r="580" spans="1:6" x14ac:dyDescent="0.25">
      <c r="A580" s="10" t="s">
        <v>15</v>
      </c>
      <c r="B580" s="11" t="s">
        <v>51</v>
      </c>
      <c r="C580" s="55"/>
      <c r="D580" s="55"/>
      <c r="E580" s="56"/>
      <c r="F580" s="57">
        <f>F579*15%</f>
        <v>99357.45</v>
      </c>
    </row>
    <row r="581" spans="1:6" ht="14.4" thickBot="1" x14ac:dyDescent="0.3">
      <c r="A581" s="58" t="s">
        <v>16</v>
      </c>
      <c r="B581" s="59" t="s">
        <v>17</v>
      </c>
      <c r="C581" s="60"/>
      <c r="D581" s="60"/>
      <c r="E581" s="61"/>
      <c r="F581" s="62">
        <f>SUM(F579:F580)</f>
        <v>761740.45</v>
      </c>
    </row>
    <row r="583" spans="1:6" ht="14.4" thickBot="1" x14ac:dyDescent="0.3">
      <c r="A583" s="160" t="s">
        <v>68</v>
      </c>
      <c r="B583" s="161" t="s">
        <v>116</v>
      </c>
      <c r="C583" s="162"/>
      <c r="D583" s="162"/>
      <c r="E583" s="162"/>
      <c r="F583" s="162"/>
    </row>
    <row r="584" spans="1:6" ht="28.2" thickBot="1" x14ac:dyDescent="0.3">
      <c r="A584" s="163" t="s">
        <v>2</v>
      </c>
      <c r="B584" s="164" t="s">
        <v>3</v>
      </c>
      <c r="C584" s="164" t="s">
        <v>0</v>
      </c>
      <c r="D584" s="164" t="s">
        <v>4</v>
      </c>
      <c r="E584" s="164" t="s">
        <v>5</v>
      </c>
      <c r="F584" s="165" t="s">
        <v>6</v>
      </c>
    </row>
    <row r="585" spans="1:6" x14ac:dyDescent="0.25">
      <c r="A585" s="166">
        <v>1</v>
      </c>
      <c r="B585" s="167">
        <v>2</v>
      </c>
      <c r="C585" s="167">
        <v>3</v>
      </c>
      <c r="D585" s="167">
        <v>4</v>
      </c>
      <c r="E585" s="167">
        <v>5</v>
      </c>
      <c r="F585" s="168">
        <v>6</v>
      </c>
    </row>
    <row r="586" spans="1:6" x14ac:dyDescent="0.25">
      <c r="A586" s="169" t="s">
        <v>1</v>
      </c>
      <c r="B586" s="170" t="s">
        <v>76</v>
      </c>
      <c r="C586" s="171"/>
      <c r="D586" s="171"/>
      <c r="E586" s="171"/>
      <c r="F586" s="172"/>
    </row>
    <row r="587" spans="1:6" x14ac:dyDescent="0.25">
      <c r="A587" s="173"/>
      <c r="B587" s="174" t="s">
        <v>40</v>
      </c>
      <c r="C587" s="175" t="s">
        <v>7</v>
      </c>
      <c r="D587" s="176">
        <v>0.25</v>
      </c>
      <c r="E587" s="177">
        <f>'HARGA BAHAN'!E4</f>
        <v>125000</v>
      </c>
      <c r="F587" s="178">
        <f>+D587*E587</f>
        <v>31250</v>
      </c>
    </row>
    <row r="588" spans="1:6" x14ac:dyDescent="0.25">
      <c r="A588" s="173"/>
      <c r="B588" s="179" t="s">
        <v>86</v>
      </c>
      <c r="C588" s="180" t="s">
        <v>7</v>
      </c>
      <c r="D588" s="181">
        <v>0.125</v>
      </c>
      <c r="E588" s="177">
        <f>'HARGA BAHAN'!E5</f>
        <v>160000</v>
      </c>
      <c r="F588" s="178">
        <f>+D588*E588</f>
        <v>20000</v>
      </c>
    </row>
    <row r="589" spans="1:6" x14ac:dyDescent="0.25">
      <c r="A589" s="173"/>
      <c r="B589" s="174" t="s">
        <v>87</v>
      </c>
      <c r="C589" s="175" t="s">
        <v>7</v>
      </c>
      <c r="D589" s="176">
        <v>1.2999999999999999E-2</v>
      </c>
      <c r="E589" s="177">
        <f>'HARGA BAHAN'!E6</f>
        <v>180000</v>
      </c>
      <c r="F589" s="178">
        <f>+D589*E589</f>
        <v>2340</v>
      </c>
    </row>
    <row r="590" spans="1:6" ht="14.4" thickBot="1" x14ac:dyDescent="0.3">
      <c r="A590" s="182"/>
      <c r="B590" s="183" t="s">
        <v>42</v>
      </c>
      <c r="C590" s="184" t="s">
        <v>7</v>
      </c>
      <c r="D590" s="185">
        <v>1.2999999999999999E-2</v>
      </c>
      <c r="E590" s="177">
        <f>'HARGA BAHAN'!E7</f>
        <v>175000</v>
      </c>
      <c r="F590" s="178">
        <f>+D590*E590</f>
        <v>2275</v>
      </c>
    </row>
    <row r="591" spans="1:6" ht="14.4" thickBot="1" x14ac:dyDescent="0.3">
      <c r="A591" s="186"/>
      <c r="B591" s="187"/>
      <c r="C591" s="188"/>
      <c r="D591" s="189" t="s">
        <v>8</v>
      </c>
      <c r="E591" s="190"/>
      <c r="F591" s="191">
        <f>SUM(F587:F590)</f>
        <v>55865</v>
      </c>
    </row>
    <row r="592" spans="1:6" x14ac:dyDescent="0.25">
      <c r="A592" s="192" t="s">
        <v>9</v>
      </c>
      <c r="B592" s="193" t="s">
        <v>77</v>
      </c>
      <c r="C592" s="194"/>
      <c r="D592" s="194"/>
      <c r="E592" s="194"/>
      <c r="F592" s="195"/>
    </row>
    <row r="593" spans="1:6" x14ac:dyDescent="0.25">
      <c r="A593" s="196"/>
      <c r="B593" s="197" t="s">
        <v>117</v>
      </c>
      <c r="C593" s="198" t="s">
        <v>45</v>
      </c>
      <c r="D593" s="199">
        <v>3.1</v>
      </c>
      <c r="E593" s="200">
        <f>'HARGA BAHAN'!E44</f>
        <v>103750</v>
      </c>
      <c r="F593" s="201">
        <f>+D593*E593</f>
        <v>321625</v>
      </c>
    </row>
    <row r="594" spans="1:6" x14ac:dyDescent="0.25">
      <c r="A594" s="202"/>
      <c r="B594" s="179" t="s">
        <v>85</v>
      </c>
      <c r="C594" s="180" t="s">
        <v>21</v>
      </c>
      <c r="D594" s="203">
        <v>9.6</v>
      </c>
      <c r="E594" s="204">
        <f>'HARGA BAHAN'!E13</f>
        <v>2000</v>
      </c>
      <c r="F594" s="178">
        <f>+D594*E594</f>
        <v>19200</v>
      </c>
    </row>
    <row r="595" spans="1:6" x14ac:dyDescent="0.25">
      <c r="A595" s="202"/>
      <c r="B595" s="179" t="s">
        <v>118</v>
      </c>
      <c r="C595" s="180" t="s">
        <v>21</v>
      </c>
      <c r="D595" s="203">
        <v>1.5</v>
      </c>
      <c r="E595" s="204">
        <f>'HARGA BAHAN'!E45</f>
        <v>6438.0000000000009</v>
      </c>
      <c r="F595" s="178">
        <f>+D595*E595</f>
        <v>9657.0000000000018</v>
      </c>
    </row>
    <row r="596" spans="1:6" ht="16.2" thickBot="1" x14ac:dyDescent="0.3">
      <c r="A596" s="202"/>
      <c r="B596" s="179" t="s">
        <v>106</v>
      </c>
      <c r="C596" s="180" t="s">
        <v>203</v>
      </c>
      <c r="D596" s="203">
        <v>4.4999999999999998E-2</v>
      </c>
      <c r="E596" s="204">
        <f>'HARGA BAHAN'!E15</f>
        <v>210000</v>
      </c>
      <c r="F596" s="178">
        <f>+D596*E596</f>
        <v>9450</v>
      </c>
    </row>
    <row r="597" spans="1:6" ht="14.4" thickBot="1" x14ac:dyDescent="0.3">
      <c r="A597" s="186"/>
      <c r="B597" s="205"/>
      <c r="C597" s="205"/>
      <c r="D597" s="206" t="s">
        <v>10</v>
      </c>
      <c r="E597" s="205"/>
      <c r="F597" s="191">
        <f>SUM(F593:F596)</f>
        <v>359932</v>
      </c>
    </row>
    <row r="598" spans="1:6" x14ac:dyDescent="0.25">
      <c r="A598" s="192" t="s">
        <v>11</v>
      </c>
      <c r="B598" s="193" t="s">
        <v>78</v>
      </c>
      <c r="C598" s="194"/>
      <c r="D598" s="194"/>
      <c r="E598" s="194"/>
      <c r="F598" s="195"/>
    </row>
    <row r="599" spans="1:6" ht="14.4" thickBot="1" x14ac:dyDescent="0.3">
      <c r="A599" s="207"/>
      <c r="B599" s="208"/>
      <c r="C599" s="209"/>
      <c r="D599" s="210"/>
      <c r="E599" s="211"/>
      <c r="F599" s="212"/>
    </row>
    <row r="600" spans="1:6" ht="14.4" thickBot="1" x14ac:dyDescent="0.3">
      <c r="A600" s="186"/>
      <c r="B600" s="187"/>
      <c r="C600" s="188"/>
      <c r="D600" s="189" t="s">
        <v>12</v>
      </c>
      <c r="E600" s="190"/>
      <c r="F600" s="191">
        <f>SUM(F599)</f>
        <v>0</v>
      </c>
    </row>
    <row r="601" spans="1:6" x14ac:dyDescent="0.25">
      <c r="A601" s="192" t="s">
        <v>13</v>
      </c>
      <c r="B601" s="193" t="s">
        <v>14</v>
      </c>
      <c r="C601" s="213"/>
      <c r="D601" s="213"/>
      <c r="E601" s="214"/>
      <c r="F601" s="215">
        <f>+F591+F597+F600</f>
        <v>415797</v>
      </c>
    </row>
    <row r="602" spans="1:6" x14ac:dyDescent="0.25">
      <c r="A602" s="169" t="s">
        <v>15</v>
      </c>
      <c r="B602" s="170" t="s">
        <v>51</v>
      </c>
      <c r="C602" s="216"/>
      <c r="D602" s="216"/>
      <c r="E602" s="217"/>
      <c r="F602" s="218">
        <f>F601*15%</f>
        <v>62369.549999999996</v>
      </c>
    </row>
    <row r="603" spans="1:6" ht="14.4" thickBot="1" x14ac:dyDescent="0.3">
      <c r="A603" s="219" t="s">
        <v>16</v>
      </c>
      <c r="B603" s="220" t="s">
        <v>17</v>
      </c>
      <c r="C603" s="221"/>
      <c r="D603" s="221"/>
      <c r="E603" s="222"/>
      <c r="F603" s="223">
        <f>SUM(F601:F602)</f>
        <v>478166.55</v>
      </c>
    </row>
    <row r="605" spans="1:6" ht="16.2" thickBot="1" x14ac:dyDescent="0.3">
      <c r="A605" s="155" t="s">
        <v>170</v>
      </c>
      <c r="B605" s="2" t="s">
        <v>464</v>
      </c>
      <c r="C605" s="3"/>
      <c r="D605" s="3"/>
      <c r="E605" s="3"/>
      <c r="F605" s="3"/>
    </row>
    <row r="606" spans="1:6" ht="28.2" thickBot="1" x14ac:dyDescent="0.3">
      <c r="A606" s="4" t="s">
        <v>2</v>
      </c>
      <c r="B606" s="5" t="s">
        <v>3</v>
      </c>
      <c r="C606" s="5" t="s">
        <v>0</v>
      </c>
      <c r="D606" s="5" t="s">
        <v>4</v>
      </c>
      <c r="E606" s="5" t="s">
        <v>5</v>
      </c>
      <c r="F606" s="6" t="s">
        <v>6</v>
      </c>
    </row>
    <row r="607" spans="1:6" x14ac:dyDescent="0.25">
      <c r="A607" s="7">
        <v>1</v>
      </c>
      <c r="B607" s="8">
        <v>2</v>
      </c>
      <c r="C607" s="8">
        <v>3</v>
      </c>
      <c r="D607" s="8">
        <v>4</v>
      </c>
      <c r="E607" s="8">
        <v>5</v>
      </c>
      <c r="F607" s="9">
        <v>6</v>
      </c>
    </row>
    <row r="608" spans="1:6" x14ac:dyDescent="0.25">
      <c r="A608" s="10" t="s">
        <v>1</v>
      </c>
      <c r="B608" s="11" t="s">
        <v>76</v>
      </c>
      <c r="C608" s="12"/>
      <c r="D608" s="12"/>
      <c r="E608" s="12"/>
      <c r="F608" s="13"/>
    </row>
    <row r="609" spans="1:6" x14ac:dyDescent="0.25">
      <c r="A609" s="14"/>
      <c r="B609" s="15" t="s">
        <v>40</v>
      </c>
      <c r="C609" s="16" t="s">
        <v>7</v>
      </c>
      <c r="D609" s="17">
        <v>0.37</v>
      </c>
      <c r="E609" s="18">
        <f>'HARGA BAHAN'!E4</f>
        <v>125000</v>
      </c>
      <c r="F609" s="19">
        <f>+D609*E609</f>
        <v>46250</v>
      </c>
    </row>
    <row r="610" spans="1:6" x14ac:dyDescent="0.25">
      <c r="A610" s="14"/>
      <c r="B610" s="20" t="s">
        <v>86</v>
      </c>
      <c r="C610" s="21" t="s">
        <v>7</v>
      </c>
      <c r="D610" s="22">
        <v>0.37</v>
      </c>
      <c r="E610" s="18">
        <f>'HARGA BAHAN'!E5</f>
        <v>160000</v>
      </c>
      <c r="F610" s="19">
        <f>+D610*E610</f>
        <v>59200</v>
      </c>
    </row>
    <row r="611" spans="1:6" x14ac:dyDescent="0.25">
      <c r="A611" s="14"/>
      <c r="B611" s="15" t="s">
        <v>87</v>
      </c>
      <c r="C611" s="16" t="s">
        <v>7</v>
      </c>
      <c r="D611" s="17">
        <v>3.6999999999999998E-2</v>
      </c>
      <c r="E611" s="18">
        <f>'HARGA BAHAN'!E6</f>
        <v>180000</v>
      </c>
      <c r="F611" s="19">
        <f>+D611*E611</f>
        <v>6660</v>
      </c>
    </row>
    <row r="612" spans="1:6" ht="14.4" thickBot="1" x14ac:dyDescent="0.3">
      <c r="A612" s="24"/>
      <c r="B612" s="25" t="s">
        <v>42</v>
      </c>
      <c r="C612" s="26" t="s">
        <v>7</v>
      </c>
      <c r="D612" s="27">
        <v>3.6999999999999998E-2</v>
      </c>
      <c r="E612" s="18">
        <f>'HARGA BAHAN'!E7</f>
        <v>175000</v>
      </c>
      <c r="F612" s="19">
        <f>+D612*E612</f>
        <v>6475</v>
      </c>
    </row>
    <row r="613" spans="1:6" ht="14.4" thickBot="1" x14ac:dyDescent="0.3">
      <c r="A613" s="28"/>
      <c r="B613" s="29"/>
      <c r="C613" s="30"/>
      <c r="D613" s="31" t="s">
        <v>8</v>
      </c>
      <c r="E613" s="32"/>
      <c r="F613" s="33">
        <f>SUM(F609:F612)</f>
        <v>118585</v>
      </c>
    </row>
    <row r="614" spans="1:6" x14ac:dyDescent="0.25">
      <c r="A614" s="34" t="s">
        <v>9</v>
      </c>
      <c r="B614" s="35" t="s">
        <v>77</v>
      </c>
      <c r="C614" s="36"/>
      <c r="D614" s="36"/>
      <c r="E614" s="36"/>
      <c r="F614" s="37"/>
    </row>
    <row r="615" spans="1:6" x14ac:dyDescent="0.25">
      <c r="A615" s="38"/>
      <c r="B615" s="39" t="s">
        <v>171</v>
      </c>
      <c r="C615" s="40" t="s">
        <v>157</v>
      </c>
      <c r="D615" s="75">
        <v>2</v>
      </c>
      <c r="E615" s="42">
        <f>'HARGA BAHAN'!E47</f>
        <v>20500</v>
      </c>
      <c r="F615" s="43">
        <f>+D615*E615</f>
        <v>41000</v>
      </c>
    </row>
    <row r="616" spans="1:6" x14ac:dyDescent="0.25">
      <c r="A616" s="14"/>
      <c r="B616" s="15" t="s">
        <v>172</v>
      </c>
      <c r="C616" s="16" t="s">
        <v>157</v>
      </c>
      <c r="D616" s="77">
        <v>2.2000000000000002</v>
      </c>
      <c r="E616" s="18">
        <f>'HARGA BAHAN'!E80</f>
        <v>8925</v>
      </c>
      <c r="F616" s="19">
        <f t="shared" ref="F616:F617" si="13">+D616*E616</f>
        <v>19635</v>
      </c>
    </row>
    <row r="617" spans="1:6" x14ac:dyDescent="0.25">
      <c r="A617" s="14"/>
      <c r="B617" s="15" t="s">
        <v>173</v>
      </c>
      <c r="C617" s="16" t="s">
        <v>159</v>
      </c>
      <c r="D617" s="77">
        <v>0.4</v>
      </c>
      <c r="E617" s="18">
        <f>'HARGA BAHAN'!E81</f>
        <v>4200</v>
      </c>
      <c r="F617" s="19">
        <f t="shared" si="13"/>
        <v>1680</v>
      </c>
    </row>
    <row r="618" spans="1:6" ht="14.4" thickBot="1" x14ac:dyDescent="0.3">
      <c r="A618" s="79"/>
      <c r="B618" s="80" t="s">
        <v>174</v>
      </c>
      <c r="C618" s="81" t="s">
        <v>159</v>
      </c>
      <c r="D618" s="82">
        <v>12</v>
      </c>
      <c r="E618" s="83">
        <f>'HARGA BAHAN'!E78</f>
        <v>420</v>
      </c>
      <c r="F618" s="74">
        <f>+D618*E618</f>
        <v>5040</v>
      </c>
    </row>
    <row r="619" spans="1:6" ht="14.4" thickBot="1" x14ac:dyDescent="0.3">
      <c r="A619" s="28"/>
      <c r="B619" s="44"/>
      <c r="C619" s="44"/>
      <c r="D619" s="45" t="s">
        <v>10</v>
      </c>
      <c r="E619" s="44"/>
      <c r="F619" s="33">
        <f>SUM(F615:F618)</f>
        <v>67355</v>
      </c>
    </row>
    <row r="620" spans="1:6" x14ac:dyDescent="0.25">
      <c r="A620" s="34" t="s">
        <v>11</v>
      </c>
      <c r="B620" s="35" t="s">
        <v>78</v>
      </c>
      <c r="C620" s="36"/>
      <c r="D620" s="36"/>
      <c r="E620" s="36"/>
      <c r="F620" s="37"/>
    </row>
    <row r="621" spans="1:6" ht="14.4" thickBot="1" x14ac:dyDescent="0.3">
      <c r="A621" s="46"/>
      <c r="B621" s="47"/>
      <c r="C621" s="48"/>
      <c r="D621" s="49"/>
      <c r="E621" s="50"/>
      <c r="F621" s="51"/>
    </row>
    <row r="622" spans="1:6" ht="14.4" thickBot="1" x14ac:dyDescent="0.3">
      <c r="A622" s="28"/>
      <c r="B622" s="29"/>
      <c r="C622" s="30"/>
      <c r="D622" s="31" t="s">
        <v>12</v>
      </c>
      <c r="E622" s="32"/>
      <c r="F622" s="33">
        <f>SUM(F621)</f>
        <v>0</v>
      </c>
    </row>
    <row r="623" spans="1:6" x14ac:dyDescent="0.25">
      <c r="A623" s="34" t="s">
        <v>13</v>
      </c>
      <c r="B623" s="35" t="s">
        <v>14</v>
      </c>
      <c r="C623" s="52"/>
      <c r="D623" s="52"/>
      <c r="E623" s="53"/>
      <c r="F623" s="54">
        <f>+F613+F619+F622</f>
        <v>185940</v>
      </c>
    </row>
    <row r="624" spans="1:6" x14ac:dyDescent="0.25">
      <c r="A624" s="10" t="s">
        <v>15</v>
      </c>
      <c r="B624" s="11" t="s">
        <v>51</v>
      </c>
      <c r="C624" s="55"/>
      <c r="D624" s="55"/>
      <c r="E624" s="56"/>
      <c r="F624" s="57">
        <f>F623*15%</f>
        <v>27891</v>
      </c>
    </row>
    <row r="625" spans="1:6" ht="14.4" thickBot="1" x14ac:dyDescent="0.3">
      <c r="A625" s="58" t="s">
        <v>16</v>
      </c>
      <c r="B625" s="59" t="s">
        <v>17</v>
      </c>
      <c r="C625" s="60"/>
      <c r="D625" s="60"/>
      <c r="E625" s="61"/>
      <c r="F625" s="62">
        <f>SUM(F623:F624)</f>
        <v>213831</v>
      </c>
    </row>
    <row r="627" spans="1:6" ht="16.2" thickBot="1" x14ac:dyDescent="0.3">
      <c r="A627" s="376" t="s">
        <v>233</v>
      </c>
      <c r="B627" s="161" t="s">
        <v>232</v>
      </c>
      <c r="C627" s="162"/>
      <c r="D627" s="162"/>
      <c r="E627" s="162"/>
      <c r="F627" s="162"/>
    </row>
    <row r="628" spans="1:6" ht="28.2" thickBot="1" x14ac:dyDescent="0.3">
      <c r="A628" s="163" t="s">
        <v>2</v>
      </c>
      <c r="B628" s="164" t="s">
        <v>3</v>
      </c>
      <c r="C628" s="164" t="s">
        <v>0</v>
      </c>
      <c r="D628" s="164" t="s">
        <v>4</v>
      </c>
      <c r="E628" s="164" t="s">
        <v>5</v>
      </c>
      <c r="F628" s="165" t="s">
        <v>6</v>
      </c>
    </row>
    <row r="629" spans="1:6" x14ac:dyDescent="0.25">
      <c r="A629" s="166">
        <v>1</v>
      </c>
      <c r="B629" s="167">
        <v>2</v>
      </c>
      <c r="C629" s="167">
        <v>3</v>
      </c>
      <c r="D629" s="167">
        <v>4</v>
      </c>
      <c r="E629" s="167">
        <v>5</v>
      </c>
      <c r="F629" s="168">
        <v>6</v>
      </c>
    </row>
    <row r="630" spans="1:6" x14ac:dyDescent="0.25">
      <c r="A630" s="169" t="s">
        <v>1</v>
      </c>
      <c r="B630" s="170" t="s">
        <v>76</v>
      </c>
      <c r="C630" s="171"/>
      <c r="D630" s="171"/>
      <c r="E630" s="171"/>
      <c r="F630" s="172"/>
    </row>
    <row r="631" spans="1:6" x14ac:dyDescent="0.25">
      <c r="A631" s="173"/>
      <c r="B631" s="174" t="s">
        <v>40</v>
      </c>
      <c r="C631" s="175" t="s">
        <v>7</v>
      </c>
      <c r="D631" s="176">
        <v>0.37</v>
      </c>
      <c r="E631" s="177">
        <f>'HARGA BAHAN'!E4</f>
        <v>125000</v>
      </c>
      <c r="F631" s="178">
        <f>+D631*E631</f>
        <v>46250</v>
      </c>
    </row>
    <row r="632" spans="1:6" x14ac:dyDescent="0.25">
      <c r="A632" s="173"/>
      <c r="B632" s="179" t="s">
        <v>86</v>
      </c>
      <c r="C632" s="180" t="s">
        <v>7</v>
      </c>
      <c r="D632" s="181">
        <v>0.37</v>
      </c>
      <c r="E632" s="177">
        <f>'HARGA BAHAN'!E5</f>
        <v>160000</v>
      </c>
      <c r="F632" s="178">
        <f>+D632*E632</f>
        <v>59200</v>
      </c>
    </row>
    <row r="633" spans="1:6" x14ac:dyDescent="0.25">
      <c r="A633" s="173"/>
      <c r="B633" s="174" t="s">
        <v>87</v>
      </c>
      <c r="C633" s="175" t="s">
        <v>7</v>
      </c>
      <c r="D633" s="176">
        <v>3.6999999999999998E-2</v>
      </c>
      <c r="E633" s="177">
        <f>'HARGA BAHAN'!E6</f>
        <v>180000</v>
      </c>
      <c r="F633" s="178">
        <f>+D633*E633</f>
        <v>6660</v>
      </c>
    </row>
    <row r="634" spans="1:6" ht="14.4" thickBot="1" x14ac:dyDescent="0.3">
      <c r="A634" s="182"/>
      <c r="B634" s="183" t="s">
        <v>42</v>
      </c>
      <c r="C634" s="184" t="s">
        <v>7</v>
      </c>
      <c r="D634" s="185">
        <v>3.6999999999999998E-2</v>
      </c>
      <c r="E634" s="177">
        <f>'HARGA BAHAN'!E7</f>
        <v>175000</v>
      </c>
      <c r="F634" s="178">
        <f>+D634*E634</f>
        <v>6475</v>
      </c>
    </row>
    <row r="635" spans="1:6" ht="14.4" thickBot="1" x14ac:dyDescent="0.3">
      <c r="A635" s="186"/>
      <c r="B635" s="187"/>
      <c r="C635" s="188"/>
      <c r="D635" s="189" t="s">
        <v>8</v>
      </c>
      <c r="E635" s="190"/>
      <c r="F635" s="191">
        <f>SUM(F631:F634)</f>
        <v>118585</v>
      </c>
    </row>
    <row r="636" spans="1:6" x14ac:dyDescent="0.25">
      <c r="A636" s="192" t="s">
        <v>9</v>
      </c>
      <c r="B636" s="193" t="s">
        <v>77</v>
      </c>
      <c r="C636" s="194"/>
      <c r="D636" s="194"/>
      <c r="E636" s="194"/>
      <c r="F636" s="195"/>
    </row>
    <row r="637" spans="1:6" x14ac:dyDescent="0.25">
      <c r="A637" s="196"/>
      <c r="B637" s="197" t="s">
        <v>171</v>
      </c>
      <c r="C637" s="198" t="s">
        <v>157</v>
      </c>
      <c r="D637" s="199">
        <f>2*2</f>
        <v>4</v>
      </c>
      <c r="E637" s="200">
        <f>'HARGA BAHAN'!E47</f>
        <v>20500</v>
      </c>
      <c r="F637" s="201">
        <f>+D637*E637</f>
        <v>82000</v>
      </c>
    </row>
    <row r="638" spans="1:6" x14ac:dyDescent="0.25">
      <c r="A638" s="173"/>
      <c r="B638" s="174" t="s">
        <v>172</v>
      </c>
      <c r="C638" s="175" t="s">
        <v>157</v>
      </c>
      <c r="D638" s="377">
        <f>2.2*2</f>
        <v>4.4000000000000004</v>
      </c>
      <c r="E638" s="177">
        <f>'HARGA BAHAN'!E80</f>
        <v>8925</v>
      </c>
      <c r="F638" s="178">
        <f t="shared" ref="F638:F639" si="14">+D638*E638</f>
        <v>39270</v>
      </c>
    </row>
    <row r="639" spans="1:6" x14ac:dyDescent="0.25">
      <c r="A639" s="173"/>
      <c r="B639" s="174" t="s">
        <v>173</v>
      </c>
      <c r="C639" s="175" t="s">
        <v>159</v>
      </c>
      <c r="D639" s="377">
        <f>0.4*2</f>
        <v>0.8</v>
      </c>
      <c r="E639" s="177">
        <f>'HARGA BAHAN'!E81</f>
        <v>4200</v>
      </c>
      <c r="F639" s="178">
        <f t="shared" si="14"/>
        <v>3360</v>
      </c>
    </row>
    <row r="640" spans="1:6" ht="14.4" thickBot="1" x14ac:dyDescent="0.3">
      <c r="A640" s="378"/>
      <c r="B640" s="379" t="s">
        <v>174</v>
      </c>
      <c r="C640" s="380" t="s">
        <v>159</v>
      </c>
      <c r="D640" s="381">
        <f>12*2</f>
        <v>24</v>
      </c>
      <c r="E640" s="382">
        <f>'HARGA BAHAN'!E78</f>
        <v>420</v>
      </c>
      <c r="F640" s="383">
        <f>+D640*E640</f>
        <v>10080</v>
      </c>
    </row>
    <row r="641" spans="1:6" ht="14.4" thickBot="1" x14ac:dyDescent="0.3">
      <c r="A641" s="186"/>
      <c r="B641" s="205"/>
      <c r="C641" s="205"/>
      <c r="D641" s="206" t="s">
        <v>10</v>
      </c>
      <c r="E641" s="205"/>
      <c r="F641" s="191">
        <f>SUM(F637:F640)</f>
        <v>134710</v>
      </c>
    </row>
    <row r="642" spans="1:6" x14ac:dyDescent="0.25">
      <c r="A642" s="192" t="s">
        <v>11</v>
      </c>
      <c r="B642" s="193" t="s">
        <v>78</v>
      </c>
      <c r="C642" s="194"/>
      <c r="D642" s="194"/>
      <c r="E642" s="194"/>
      <c r="F642" s="195"/>
    </row>
    <row r="643" spans="1:6" ht="14.4" thickBot="1" x14ac:dyDescent="0.3">
      <c r="A643" s="207"/>
      <c r="B643" s="208"/>
      <c r="C643" s="209"/>
      <c r="D643" s="210"/>
      <c r="E643" s="211"/>
      <c r="F643" s="212"/>
    </row>
    <row r="644" spans="1:6" ht="14.4" thickBot="1" x14ac:dyDescent="0.3">
      <c r="A644" s="186"/>
      <c r="B644" s="187"/>
      <c r="C644" s="188"/>
      <c r="D644" s="189" t="s">
        <v>12</v>
      </c>
      <c r="E644" s="190"/>
      <c r="F644" s="191">
        <f>SUM(F643)</f>
        <v>0</v>
      </c>
    </row>
    <row r="645" spans="1:6" x14ac:dyDescent="0.25">
      <c r="A645" s="192" t="s">
        <v>13</v>
      </c>
      <c r="B645" s="193" t="s">
        <v>14</v>
      </c>
      <c r="C645" s="213"/>
      <c r="D645" s="213"/>
      <c r="E645" s="214"/>
      <c r="F645" s="215">
        <f>+F635+F641+F644</f>
        <v>253295</v>
      </c>
    </row>
    <row r="646" spans="1:6" x14ac:dyDescent="0.25">
      <c r="A646" s="169" t="s">
        <v>15</v>
      </c>
      <c r="B646" s="170" t="s">
        <v>51</v>
      </c>
      <c r="C646" s="216"/>
      <c r="D646" s="216"/>
      <c r="E646" s="217"/>
      <c r="F646" s="218">
        <f>F645*15%</f>
        <v>37994.25</v>
      </c>
    </row>
    <row r="647" spans="1:6" ht="14.4" thickBot="1" x14ac:dyDescent="0.3">
      <c r="A647" s="219" t="s">
        <v>16</v>
      </c>
      <c r="B647" s="220" t="s">
        <v>17</v>
      </c>
      <c r="C647" s="221"/>
      <c r="D647" s="221"/>
      <c r="E647" s="222"/>
      <c r="F647" s="223">
        <f>SUM(F645:F646)</f>
        <v>291289.25</v>
      </c>
    </row>
    <row r="649" spans="1:6" ht="16.2" thickBot="1" x14ac:dyDescent="0.3">
      <c r="A649" s="546" t="s">
        <v>572</v>
      </c>
      <c r="B649" s="297" t="s">
        <v>418</v>
      </c>
      <c r="C649" s="298"/>
      <c r="D649" s="298"/>
      <c r="E649" s="298"/>
      <c r="F649" s="298"/>
    </row>
    <row r="650" spans="1:6" ht="28.2" thickBot="1" x14ac:dyDescent="0.3">
      <c r="A650" s="299" t="s">
        <v>2</v>
      </c>
      <c r="B650" s="300" t="s">
        <v>3</v>
      </c>
      <c r="C650" s="300" t="s">
        <v>0</v>
      </c>
      <c r="D650" s="300" t="s">
        <v>4</v>
      </c>
      <c r="E650" s="300" t="s">
        <v>5</v>
      </c>
      <c r="F650" s="301" t="s">
        <v>6</v>
      </c>
    </row>
    <row r="651" spans="1:6" x14ac:dyDescent="0.25">
      <c r="A651" s="302">
        <v>1</v>
      </c>
      <c r="B651" s="303">
        <v>2</v>
      </c>
      <c r="C651" s="303">
        <v>3</v>
      </c>
      <c r="D651" s="303">
        <v>4</v>
      </c>
      <c r="E651" s="303">
        <v>5</v>
      </c>
      <c r="F651" s="304">
        <v>6</v>
      </c>
    </row>
    <row r="652" spans="1:6" x14ac:dyDescent="0.25">
      <c r="A652" s="305" t="s">
        <v>1</v>
      </c>
      <c r="B652" s="306" t="s">
        <v>76</v>
      </c>
      <c r="C652" s="307"/>
      <c r="D652" s="307"/>
      <c r="E652" s="307"/>
      <c r="F652" s="308"/>
    </row>
    <row r="653" spans="1:6" x14ac:dyDescent="0.25">
      <c r="A653" s="309"/>
      <c r="B653" s="310" t="s">
        <v>40</v>
      </c>
      <c r="C653" s="311" t="s">
        <v>7</v>
      </c>
      <c r="D653" s="312">
        <v>0.37</v>
      </c>
      <c r="E653" s="313">
        <f>'HARGA BAHAN'!E4</f>
        <v>125000</v>
      </c>
      <c r="F653" s="314">
        <f>+D653*E653</f>
        <v>46250</v>
      </c>
    </row>
    <row r="654" spans="1:6" x14ac:dyDescent="0.25">
      <c r="A654" s="309"/>
      <c r="B654" s="315" t="s">
        <v>86</v>
      </c>
      <c r="C654" s="316" t="s">
        <v>7</v>
      </c>
      <c r="D654" s="317">
        <v>0.37</v>
      </c>
      <c r="E654" s="313">
        <f>'HARGA BAHAN'!E5</f>
        <v>160000</v>
      </c>
      <c r="F654" s="314">
        <f>+D654*E654</f>
        <v>59200</v>
      </c>
    </row>
    <row r="655" spans="1:6" x14ac:dyDescent="0.25">
      <c r="A655" s="309"/>
      <c r="B655" s="310" t="s">
        <v>87</v>
      </c>
      <c r="C655" s="311" t="s">
        <v>7</v>
      </c>
      <c r="D655" s="312">
        <v>3.6999999999999998E-2</v>
      </c>
      <c r="E655" s="313">
        <f>'HARGA BAHAN'!E6</f>
        <v>180000</v>
      </c>
      <c r="F655" s="314">
        <f>+D655*E655</f>
        <v>6660</v>
      </c>
    </row>
    <row r="656" spans="1:6" ht="14.4" thickBot="1" x14ac:dyDescent="0.3">
      <c r="A656" s="318"/>
      <c r="B656" s="319" t="s">
        <v>42</v>
      </c>
      <c r="C656" s="320" t="s">
        <v>7</v>
      </c>
      <c r="D656" s="321">
        <v>3.6999999999999998E-2</v>
      </c>
      <c r="E656" s="313">
        <f>'HARGA BAHAN'!E7</f>
        <v>175000</v>
      </c>
      <c r="F656" s="314">
        <f>+D656*E656</f>
        <v>6475</v>
      </c>
    </row>
    <row r="657" spans="1:6" ht="14.4" thickBot="1" x14ac:dyDescent="0.3">
      <c r="A657" s="322"/>
      <c r="B657" s="323"/>
      <c r="C657" s="324"/>
      <c r="D657" s="325" t="s">
        <v>8</v>
      </c>
      <c r="E657" s="326"/>
      <c r="F657" s="327">
        <f>SUM(F653:F656)</f>
        <v>118585</v>
      </c>
    </row>
    <row r="658" spans="1:6" x14ac:dyDescent="0.25">
      <c r="A658" s="328" t="s">
        <v>9</v>
      </c>
      <c r="B658" s="329" t="s">
        <v>77</v>
      </c>
      <c r="C658" s="330"/>
      <c r="D658" s="330"/>
      <c r="E658" s="330"/>
      <c r="F658" s="331"/>
    </row>
    <row r="659" spans="1:6" x14ac:dyDescent="0.25">
      <c r="A659" s="332"/>
      <c r="B659" s="333" t="s">
        <v>419</v>
      </c>
      <c r="C659" s="334" t="s">
        <v>157</v>
      </c>
      <c r="D659" s="547">
        <v>5</v>
      </c>
      <c r="E659" s="336">
        <f>'HARGA BAHAN'!E51</f>
        <v>167000</v>
      </c>
      <c r="F659" s="403">
        <f>+D659*E659</f>
        <v>835000</v>
      </c>
    </row>
    <row r="660" spans="1:6" x14ac:dyDescent="0.25">
      <c r="A660" s="549"/>
      <c r="B660" s="315" t="s">
        <v>173</v>
      </c>
      <c r="C660" s="316" t="s">
        <v>159</v>
      </c>
      <c r="D660" s="550">
        <v>3</v>
      </c>
      <c r="E660" s="551">
        <f>'HARGA BAHAN'!E81</f>
        <v>4200</v>
      </c>
      <c r="F660" s="314">
        <f>+D660*E660</f>
        <v>12600</v>
      </c>
    </row>
    <row r="661" spans="1:6" ht="14.4" thickBot="1" x14ac:dyDescent="0.3">
      <c r="A661" s="309"/>
      <c r="B661" s="310" t="s">
        <v>421</v>
      </c>
      <c r="C661" s="311" t="s">
        <v>213</v>
      </c>
      <c r="D661" s="548">
        <v>0.1</v>
      </c>
      <c r="E661" s="313">
        <f>'HARGA BAHAN'!E26</f>
        <v>44700</v>
      </c>
      <c r="F661" s="314">
        <f t="shared" ref="F661" si="15">+D661*E661</f>
        <v>4470</v>
      </c>
    </row>
    <row r="662" spans="1:6" ht="14.4" thickBot="1" x14ac:dyDescent="0.3">
      <c r="A662" s="322"/>
      <c r="B662" s="347"/>
      <c r="C662" s="347"/>
      <c r="D662" s="348" t="s">
        <v>10</v>
      </c>
      <c r="E662" s="347"/>
      <c r="F662" s="327">
        <f>SUM(F659:F661)</f>
        <v>852070</v>
      </c>
    </row>
    <row r="663" spans="1:6" x14ac:dyDescent="0.25">
      <c r="A663" s="328" t="s">
        <v>11</v>
      </c>
      <c r="B663" s="329" t="s">
        <v>78</v>
      </c>
      <c r="C663" s="330"/>
      <c r="D663" s="330"/>
      <c r="E663" s="330"/>
      <c r="F663" s="331"/>
    </row>
    <row r="664" spans="1:6" ht="14.4" thickBot="1" x14ac:dyDescent="0.3">
      <c r="A664" s="349"/>
      <c r="B664" s="350" t="s">
        <v>422</v>
      </c>
      <c r="C664" s="351"/>
      <c r="D664" s="352"/>
      <c r="E664" s="353"/>
      <c r="F664" s="354"/>
    </row>
    <row r="665" spans="1:6" ht="14.4" thickBot="1" x14ac:dyDescent="0.3">
      <c r="A665" s="322"/>
      <c r="B665" s="323"/>
      <c r="C665" s="324"/>
      <c r="D665" s="325" t="s">
        <v>423</v>
      </c>
      <c r="E665" s="326"/>
      <c r="F665" s="327">
        <f>F662*5%</f>
        <v>42603.5</v>
      </c>
    </row>
    <row r="666" spans="1:6" x14ac:dyDescent="0.25">
      <c r="A666" s="328" t="s">
        <v>13</v>
      </c>
      <c r="B666" s="329" t="s">
        <v>14</v>
      </c>
      <c r="C666" s="355"/>
      <c r="D666" s="355"/>
      <c r="E666" s="356"/>
      <c r="F666" s="357">
        <f>+F657+F662+F665</f>
        <v>1013258.5</v>
      </c>
    </row>
    <row r="667" spans="1:6" x14ac:dyDescent="0.25">
      <c r="A667" s="305" t="s">
        <v>15</v>
      </c>
      <c r="B667" s="306" t="s">
        <v>51</v>
      </c>
      <c r="C667" s="358"/>
      <c r="D667" s="358"/>
      <c r="E667" s="359"/>
      <c r="F667" s="360">
        <f>F666*15%</f>
        <v>151988.77499999999</v>
      </c>
    </row>
    <row r="668" spans="1:6" ht="14.4" thickBot="1" x14ac:dyDescent="0.3">
      <c r="A668" s="361" t="s">
        <v>16</v>
      </c>
      <c r="B668" s="362" t="s">
        <v>17</v>
      </c>
      <c r="C668" s="363"/>
      <c r="D668" s="363"/>
      <c r="E668" s="364"/>
      <c r="F668" s="365">
        <f>SUM(F666:F667)</f>
        <v>1165247.2749999999</v>
      </c>
    </row>
    <row r="670" spans="1:6" ht="14.4" thickBot="1" x14ac:dyDescent="0.3">
      <c r="A670" s="224" t="s">
        <v>436</v>
      </c>
      <c r="B670" s="225" t="s">
        <v>437</v>
      </c>
      <c r="C670" s="226"/>
      <c r="D670" s="226"/>
      <c r="E670" s="226"/>
      <c r="F670" s="226"/>
    </row>
    <row r="671" spans="1:6" ht="28.2" thickBot="1" x14ac:dyDescent="0.3">
      <c r="A671" s="227" t="s">
        <v>2</v>
      </c>
      <c r="B671" s="228" t="s">
        <v>3</v>
      </c>
      <c r="C671" s="228" t="s">
        <v>0</v>
      </c>
      <c r="D671" s="228" t="s">
        <v>4</v>
      </c>
      <c r="E671" s="228" t="s">
        <v>5</v>
      </c>
      <c r="F671" s="229" t="s">
        <v>6</v>
      </c>
    </row>
    <row r="672" spans="1:6" x14ac:dyDescent="0.25">
      <c r="A672" s="230">
        <v>1</v>
      </c>
      <c r="B672" s="231">
        <v>2</v>
      </c>
      <c r="C672" s="231">
        <v>3</v>
      </c>
      <c r="D672" s="231">
        <v>4</v>
      </c>
      <c r="E672" s="231">
        <v>5</v>
      </c>
      <c r="F672" s="232">
        <v>6</v>
      </c>
    </row>
    <row r="673" spans="1:6" x14ac:dyDescent="0.25">
      <c r="A673" s="233" t="s">
        <v>1</v>
      </c>
      <c r="B673" s="234" t="s">
        <v>76</v>
      </c>
      <c r="C673" s="235"/>
      <c r="D673" s="235"/>
      <c r="E673" s="235"/>
      <c r="F673" s="236"/>
    </row>
    <row r="674" spans="1:6" x14ac:dyDescent="0.25">
      <c r="A674" s="237"/>
      <c r="B674" s="238" t="s">
        <v>40</v>
      </c>
      <c r="C674" s="239" t="s">
        <v>7</v>
      </c>
      <c r="D674" s="240">
        <v>0.3</v>
      </c>
      <c r="E674" s="241">
        <f>'HARGA BAHAN'!E4</f>
        <v>125000</v>
      </c>
      <c r="F674" s="242">
        <f>+D674*E674</f>
        <v>37500</v>
      </c>
    </row>
    <row r="675" spans="1:6" x14ac:dyDescent="0.25">
      <c r="A675" s="237"/>
      <c r="B675" s="243" t="s">
        <v>332</v>
      </c>
      <c r="C675" s="244" t="s">
        <v>7</v>
      </c>
      <c r="D675" s="245">
        <v>0.15</v>
      </c>
      <c r="E675" s="241">
        <f>'HARGA BAHAN'!E5</f>
        <v>160000</v>
      </c>
      <c r="F675" s="242">
        <f>+D675*E675</f>
        <v>24000</v>
      </c>
    </row>
    <row r="676" spans="1:6" x14ac:dyDescent="0.25">
      <c r="A676" s="237"/>
      <c r="B676" s="238" t="s">
        <v>87</v>
      </c>
      <c r="C676" s="239" t="s">
        <v>7</v>
      </c>
      <c r="D676" s="240">
        <v>1.4999999999999999E-2</v>
      </c>
      <c r="E676" s="241">
        <f>'HARGA BAHAN'!E6</f>
        <v>180000</v>
      </c>
      <c r="F676" s="242">
        <f>+D676*E676</f>
        <v>2700</v>
      </c>
    </row>
    <row r="677" spans="1:6" ht="14.4" thickBot="1" x14ac:dyDescent="0.3">
      <c r="A677" s="246"/>
      <c r="B677" s="247" t="s">
        <v>42</v>
      </c>
      <c r="C677" s="248" t="s">
        <v>7</v>
      </c>
      <c r="D677" s="249">
        <v>1.4999999999999999E-2</v>
      </c>
      <c r="E677" s="241">
        <f>'HARGA BAHAN'!E7</f>
        <v>175000</v>
      </c>
      <c r="F677" s="242">
        <f>+D677*E677</f>
        <v>2625</v>
      </c>
    </row>
    <row r="678" spans="1:6" ht="14.4" thickBot="1" x14ac:dyDescent="0.3">
      <c r="A678" s="250"/>
      <c r="B678" s="251"/>
      <c r="C678" s="252"/>
      <c r="D678" s="253" t="s">
        <v>8</v>
      </c>
      <c r="E678" s="254"/>
      <c r="F678" s="255">
        <f>SUM(F674:F677)</f>
        <v>66825</v>
      </c>
    </row>
    <row r="679" spans="1:6" x14ac:dyDescent="0.25">
      <c r="A679" s="256" t="s">
        <v>9</v>
      </c>
      <c r="B679" s="257" t="s">
        <v>77</v>
      </c>
      <c r="C679" s="258"/>
      <c r="D679" s="258"/>
      <c r="E679" s="258"/>
      <c r="F679" s="259"/>
    </row>
    <row r="680" spans="1:6" x14ac:dyDescent="0.25">
      <c r="A680" s="265"/>
      <c r="B680" s="266" t="s">
        <v>85</v>
      </c>
      <c r="C680" s="267" t="s">
        <v>21</v>
      </c>
      <c r="D680" s="268">
        <v>10</v>
      </c>
      <c r="E680" s="269">
        <f>'HARGA BAHAN'!E13</f>
        <v>2000</v>
      </c>
      <c r="F680" s="242">
        <f>+D680*E680</f>
        <v>20000</v>
      </c>
    </row>
    <row r="681" spans="1:6" ht="16.2" thickBot="1" x14ac:dyDescent="0.3">
      <c r="A681" s="270"/>
      <c r="B681" s="271" t="s">
        <v>106</v>
      </c>
      <c r="C681" s="272" t="s">
        <v>205</v>
      </c>
      <c r="D681" s="273">
        <v>4.4999999999999998E-2</v>
      </c>
      <c r="E681" s="274">
        <f>'HARGA BAHAN'!E15</f>
        <v>210000</v>
      </c>
      <c r="F681" s="242">
        <f>+D681*E681</f>
        <v>9450</v>
      </c>
    </row>
    <row r="682" spans="1:6" ht="14.4" thickBot="1" x14ac:dyDescent="0.3">
      <c r="A682" s="250"/>
      <c r="B682" s="275"/>
      <c r="C682" s="275"/>
      <c r="D682" s="276" t="s">
        <v>10</v>
      </c>
      <c r="E682" s="275"/>
      <c r="F682" s="255">
        <f>SUM(F680:F681)</f>
        <v>29450</v>
      </c>
    </row>
    <row r="683" spans="1:6" x14ac:dyDescent="0.25">
      <c r="A683" s="256" t="s">
        <v>11</v>
      </c>
      <c r="B683" s="257" t="s">
        <v>78</v>
      </c>
      <c r="C683" s="258"/>
      <c r="D683" s="258"/>
      <c r="E683" s="258"/>
      <c r="F683" s="259"/>
    </row>
    <row r="684" spans="1:6" ht="14.4" thickBot="1" x14ac:dyDescent="0.3">
      <c r="A684" s="277"/>
      <c r="B684" s="278"/>
      <c r="C684" s="279"/>
      <c r="D684" s="280"/>
      <c r="E684" s="281"/>
      <c r="F684" s="282"/>
    </row>
    <row r="685" spans="1:6" ht="14.4" thickBot="1" x14ac:dyDescent="0.3">
      <c r="A685" s="250"/>
      <c r="B685" s="251"/>
      <c r="C685" s="252"/>
      <c r="D685" s="253" t="s">
        <v>12</v>
      </c>
      <c r="E685" s="254"/>
      <c r="F685" s="255">
        <f>SUM(F684)</f>
        <v>0</v>
      </c>
    </row>
    <row r="686" spans="1:6" x14ac:dyDescent="0.25">
      <c r="A686" s="256" t="s">
        <v>13</v>
      </c>
      <c r="B686" s="257" t="s">
        <v>14</v>
      </c>
      <c r="C686" s="283"/>
      <c r="D686" s="283"/>
      <c r="E686" s="284"/>
      <c r="F686" s="285">
        <f>+F678+F682+F685</f>
        <v>96275</v>
      </c>
    </row>
    <row r="687" spans="1:6" x14ac:dyDescent="0.25">
      <c r="A687" s="233" t="s">
        <v>15</v>
      </c>
      <c r="B687" s="234" t="s">
        <v>51</v>
      </c>
      <c r="C687" s="286"/>
      <c r="D687" s="286"/>
      <c r="E687" s="287"/>
      <c r="F687" s="288">
        <f>F686*15%</f>
        <v>14441.25</v>
      </c>
    </row>
    <row r="688" spans="1:6" ht="14.4" thickBot="1" x14ac:dyDescent="0.3">
      <c r="A688" s="289" t="s">
        <v>16</v>
      </c>
      <c r="B688" s="290" t="s">
        <v>17</v>
      </c>
      <c r="C688" s="291"/>
      <c r="D688" s="291"/>
      <c r="E688" s="292"/>
      <c r="F688" s="293">
        <f>SUM(F686:F687)</f>
        <v>110716.25</v>
      </c>
    </row>
    <row r="690" spans="1:6" ht="14.4" thickBot="1" x14ac:dyDescent="0.3">
      <c r="A690" s="224" t="s">
        <v>438</v>
      </c>
      <c r="B690" s="225" t="s">
        <v>439</v>
      </c>
      <c r="C690" s="226"/>
      <c r="D690" s="226"/>
      <c r="E690" s="226"/>
      <c r="F690" s="226"/>
    </row>
    <row r="691" spans="1:6" ht="28.2" thickBot="1" x14ac:dyDescent="0.3">
      <c r="A691" s="227" t="s">
        <v>2</v>
      </c>
      <c r="B691" s="228" t="s">
        <v>3</v>
      </c>
      <c r="C691" s="228" t="s">
        <v>0</v>
      </c>
      <c r="D691" s="228" t="s">
        <v>4</v>
      </c>
      <c r="E691" s="228" t="s">
        <v>5</v>
      </c>
      <c r="F691" s="229" t="s">
        <v>6</v>
      </c>
    </row>
    <row r="692" spans="1:6" x14ac:dyDescent="0.25">
      <c r="A692" s="230">
        <v>1</v>
      </c>
      <c r="B692" s="231">
        <v>2</v>
      </c>
      <c r="C692" s="231">
        <v>3</v>
      </c>
      <c r="D692" s="231">
        <v>4</v>
      </c>
      <c r="E692" s="231">
        <v>5</v>
      </c>
      <c r="F692" s="232">
        <v>6</v>
      </c>
    </row>
    <row r="693" spans="1:6" x14ac:dyDescent="0.25">
      <c r="A693" s="233" t="s">
        <v>1</v>
      </c>
      <c r="B693" s="234" t="s">
        <v>76</v>
      </c>
      <c r="C693" s="235"/>
      <c r="D693" s="235"/>
      <c r="E693" s="235"/>
      <c r="F693" s="236"/>
    </row>
    <row r="694" spans="1:6" x14ac:dyDescent="0.25">
      <c r="A694" s="237"/>
      <c r="B694" s="238" t="s">
        <v>40</v>
      </c>
      <c r="C694" s="239" t="s">
        <v>7</v>
      </c>
      <c r="D694" s="240">
        <v>0.2</v>
      </c>
      <c r="E694" s="241">
        <f>'HARGA BAHAN'!E4</f>
        <v>125000</v>
      </c>
      <c r="F694" s="242">
        <f>+D694*E694</f>
        <v>25000</v>
      </c>
    </row>
    <row r="695" spans="1:6" x14ac:dyDescent="0.25">
      <c r="A695" s="237"/>
      <c r="B695" s="243" t="s">
        <v>332</v>
      </c>
      <c r="C695" s="244" t="s">
        <v>7</v>
      </c>
      <c r="D695" s="245">
        <v>0.1</v>
      </c>
      <c r="E695" s="241">
        <f>'HARGA BAHAN'!E5</f>
        <v>160000</v>
      </c>
      <c r="F695" s="242">
        <f>+D695*E695</f>
        <v>16000</v>
      </c>
    </row>
    <row r="696" spans="1:6" x14ac:dyDescent="0.25">
      <c r="A696" s="237"/>
      <c r="B696" s="238" t="s">
        <v>87</v>
      </c>
      <c r="C696" s="239" t="s">
        <v>7</v>
      </c>
      <c r="D696" s="240">
        <v>0.01</v>
      </c>
      <c r="E696" s="241">
        <f>'HARGA BAHAN'!E6</f>
        <v>180000</v>
      </c>
      <c r="F696" s="242">
        <f>+D696*E696</f>
        <v>1800</v>
      </c>
    </row>
    <row r="697" spans="1:6" ht="14.4" thickBot="1" x14ac:dyDescent="0.3">
      <c r="A697" s="246"/>
      <c r="B697" s="247" t="s">
        <v>42</v>
      </c>
      <c r="C697" s="248" t="s">
        <v>7</v>
      </c>
      <c r="D697" s="249">
        <v>0.01</v>
      </c>
      <c r="E697" s="241">
        <f>'HARGA BAHAN'!E7</f>
        <v>175000</v>
      </c>
      <c r="F697" s="242">
        <f>+D697*E697</f>
        <v>1750</v>
      </c>
    </row>
    <row r="698" spans="1:6" ht="14.4" thickBot="1" x14ac:dyDescent="0.3">
      <c r="A698" s="250"/>
      <c r="B698" s="251"/>
      <c r="C698" s="252"/>
      <c r="D698" s="253" t="s">
        <v>8</v>
      </c>
      <c r="E698" s="254"/>
      <c r="F698" s="255">
        <f>SUM(F694:F697)</f>
        <v>44550</v>
      </c>
    </row>
    <row r="699" spans="1:6" x14ac:dyDescent="0.25">
      <c r="A699" s="256" t="s">
        <v>9</v>
      </c>
      <c r="B699" s="257" t="s">
        <v>77</v>
      </c>
      <c r="C699" s="258"/>
      <c r="D699" s="258"/>
      <c r="E699" s="258"/>
      <c r="F699" s="259"/>
    </row>
    <row r="700" spans="1:6" ht="14.4" thickBot="1" x14ac:dyDescent="0.3">
      <c r="A700" s="265"/>
      <c r="B700" s="266" t="s">
        <v>85</v>
      </c>
      <c r="C700" s="267" t="s">
        <v>21</v>
      </c>
      <c r="D700" s="268">
        <v>3.25</v>
      </c>
      <c r="E700" s="269">
        <f>'HARGA BAHAN'!E13</f>
        <v>2000</v>
      </c>
      <c r="F700" s="242">
        <f>+D700*E700</f>
        <v>6500</v>
      </c>
    </row>
    <row r="701" spans="1:6" ht="14.4" thickBot="1" x14ac:dyDescent="0.3">
      <c r="A701" s="250"/>
      <c r="B701" s="275"/>
      <c r="C701" s="275"/>
      <c r="D701" s="276" t="s">
        <v>10</v>
      </c>
      <c r="E701" s="275"/>
      <c r="F701" s="255">
        <f>SUM(F700:F700)</f>
        <v>6500</v>
      </c>
    </row>
    <row r="702" spans="1:6" x14ac:dyDescent="0.25">
      <c r="A702" s="256" t="s">
        <v>11</v>
      </c>
      <c r="B702" s="257" t="s">
        <v>78</v>
      </c>
      <c r="C702" s="258"/>
      <c r="D702" s="258"/>
      <c r="E702" s="258"/>
      <c r="F702" s="259"/>
    </row>
    <row r="703" spans="1:6" ht="14.4" thickBot="1" x14ac:dyDescent="0.3">
      <c r="A703" s="277"/>
      <c r="B703" s="278"/>
      <c r="C703" s="279"/>
      <c r="D703" s="280"/>
      <c r="E703" s="281"/>
      <c r="F703" s="282"/>
    </row>
    <row r="704" spans="1:6" ht="14.4" thickBot="1" x14ac:dyDescent="0.3">
      <c r="A704" s="250"/>
      <c r="B704" s="251"/>
      <c r="C704" s="252"/>
      <c r="D704" s="253" t="s">
        <v>12</v>
      </c>
      <c r="E704" s="254"/>
      <c r="F704" s="255">
        <f>SUM(F703)</f>
        <v>0</v>
      </c>
    </row>
    <row r="705" spans="1:6" x14ac:dyDescent="0.25">
      <c r="A705" s="256" t="s">
        <v>13</v>
      </c>
      <c r="B705" s="257" t="s">
        <v>14</v>
      </c>
      <c r="C705" s="283"/>
      <c r="D705" s="283"/>
      <c r="E705" s="284"/>
      <c r="F705" s="285">
        <f>+F698+F701+F704</f>
        <v>51050</v>
      </c>
    </row>
    <row r="706" spans="1:6" x14ac:dyDescent="0.25">
      <c r="A706" s="233" t="s">
        <v>15</v>
      </c>
      <c r="B706" s="234" t="s">
        <v>51</v>
      </c>
      <c r="C706" s="286"/>
      <c r="D706" s="286"/>
      <c r="E706" s="287"/>
      <c r="F706" s="288">
        <f>F705*15%</f>
        <v>7657.5</v>
      </c>
    </row>
    <row r="707" spans="1:6" ht="14.4" thickBot="1" x14ac:dyDescent="0.3">
      <c r="A707" s="289" t="s">
        <v>16</v>
      </c>
      <c r="B707" s="290" t="s">
        <v>17</v>
      </c>
      <c r="C707" s="291"/>
      <c r="D707" s="291"/>
      <c r="E707" s="292"/>
      <c r="F707" s="293">
        <f>SUM(F705:F706)</f>
        <v>58707.5</v>
      </c>
    </row>
    <row r="709" spans="1:6" ht="14.4" thickBot="1" x14ac:dyDescent="0.3">
      <c r="A709" s="71" t="s">
        <v>177</v>
      </c>
      <c r="B709" s="2" t="s">
        <v>178</v>
      </c>
      <c r="C709" s="3"/>
      <c r="D709" s="3"/>
      <c r="E709" s="3"/>
      <c r="F709" s="3"/>
    </row>
    <row r="710" spans="1:6" ht="28.2" thickBot="1" x14ac:dyDescent="0.3">
      <c r="A710" s="4" t="s">
        <v>2</v>
      </c>
      <c r="B710" s="5" t="s">
        <v>3</v>
      </c>
      <c r="C710" s="5" t="s">
        <v>0</v>
      </c>
      <c r="D710" s="5" t="s">
        <v>4</v>
      </c>
      <c r="E710" s="5" t="s">
        <v>5</v>
      </c>
      <c r="F710" s="6" t="s">
        <v>6</v>
      </c>
    </row>
    <row r="711" spans="1:6" x14ac:dyDescent="0.25">
      <c r="A711" s="7">
        <v>1</v>
      </c>
      <c r="B711" s="8">
        <v>2</v>
      </c>
      <c r="C711" s="8">
        <v>3</v>
      </c>
      <c r="D711" s="8">
        <v>4</v>
      </c>
      <c r="E711" s="8">
        <v>5</v>
      </c>
      <c r="F711" s="9">
        <v>6</v>
      </c>
    </row>
    <row r="712" spans="1:6" x14ac:dyDescent="0.25">
      <c r="A712" s="10" t="s">
        <v>1</v>
      </c>
      <c r="B712" s="11" t="s">
        <v>76</v>
      </c>
      <c r="C712" s="12"/>
      <c r="D712" s="12"/>
      <c r="E712" s="12"/>
      <c r="F712" s="13"/>
    </row>
    <row r="713" spans="1:6" x14ac:dyDescent="0.25">
      <c r="A713" s="14"/>
      <c r="B713" s="15" t="s">
        <v>40</v>
      </c>
      <c r="C713" s="16" t="s">
        <v>7</v>
      </c>
      <c r="D713" s="17">
        <v>0.12</v>
      </c>
      <c r="E713" s="18">
        <f>'HARGA BAHAN'!E4</f>
        <v>125000</v>
      </c>
      <c r="F713" s="19">
        <f>+D713*E713</f>
        <v>15000</v>
      </c>
    </row>
    <row r="714" spans="1:6" x14ac:dyDescent="0.25">
      <c r="A714" s="14"/>
      <c r="B714" s="20" t="s">
        <v>86</v>
      </c>
      <c r="C714" s="21" t="s">
        <v>7</v>
      </c>
      <c r="D714" s="22">
        <v>0.06</v>
      </c>
      <c r="E714" s="18">
        <f>'HARGA BAHAN'!E5</f>
        <v>160000</v>
      </c>
      <c r="F714" s="19">
        <f>+D714*E714</f>
        <v>9600</v>
      </c>
    </row>
    <row r="715" spans="1:6" x14ac:dyDescent="0.25">
      <c r="A715" s="14"/>
      <c r="B715" s="15" t="s">
        <v>87</v>
      </c>
      <c r="C715" s="16" t="s">
        <v>7</v>
      </c>
      <c r="D715" s="17">
        <v>6.0000000000000001E-3</v>
      </c>
      <c r="E715" s="18">
        <f>'HARGA BAHAN'!E6</f>
        <v>180000</v>
      </c>
      <c r="F715" s="19">
        <f>+D715*E715</f>
        <v>1080</v>
      </c>
    </row>
    <row r="716" spans="1:6" ht="14.4" thickBot="1" x14ac:dyDescent="0.3">
      <c r="A716" s="24"/>
      <c r="B716" s="25" t="s">
        <v>42</v>
      </c>
      <c r="C716" s="26" t="s">
        <v>7</v>
      </c>
      <c r="D716" s="27">
        <v>6.0000000000000001E-3</v>
      </c>
      <c r="E716" s="18">
        <f>'HARGA BAHAN'!E7</f>
        <v>175000</v>
      </c>
      <c r="F716" s="19">
        <f>+D716*E716</f>
        <v>1050</v>
      </c>
    </row>
    <row r="717" spans="1:6" ht="14.4" thickBot="1" x14ac:dyDescent="0.3">
      <c r="A717" s="28"/>
      <c r="B717" s="29"/>
      <c r="C717" s="30"/>
      <c r="D717" s="31" t="s">
        <v>8</v>
      </c>
      <c r="E717" s="32"/>
      <c r="F717" s="33">
        <f>SUM(F713:F716)</f>
        <v>26730</v>
      </c>
    </row>
    <row r="718" spans="1:6" x14ac:dyDescent="0.25">
      <c r="A718" s="34" t="s">
        <v>9</v>
      </c>
      <c r="B718" s="35" t="s">
        <v>77</v>
      </c>
      <c r="C718" s="36"/>
      <c r="D718" s="36"/>
      <c r="E718" s="36"/>
      <c r="F718" s="37"/>
    </row>
    <row r="719" spans="1:6" x14ac:dyDescent="0.25">
      <c r="A719" s="38"/>
      <c r="B719" s="39" t="s">
        <v>179</v>
      </c>
      <c r="C719" s="40" t="s">
        <v>181</v>
      </c>
      <c r="D719" s="41">
        <v>1.02</v>
      </c>
      <c r="E719" s="42">
        <f>'HARGA BAHAN'!E61</f>
        <v>55200</v>
      </c>
      <c r="F719" s="19">
        <f>+D719*E719</f>
        <v>56304</v>
      </c>
    </row>
    <row r="720" spans="1:6" ht="14.4" thickBot="1" x14ac:dyDescent="0.3">
      <c r="A720" s="79"/>
      <c r="B720" s="80" t="s">
        <v>180</v>
      </c>
      <c r="C720" s="81" t="s">
        <v>159</v>
      </c>
      <c r="D720" s="82">
        <v>9</v>
      </c>
      <c r="E720" s="83">
        <f>'HARGA BAHAN'!E79</f>
        <v>550</v>
      </c>
      <c r="F720" s="74">
        <f>+D720*E720</f>
        <v>4950</v>
      </c>
    </row>
    <row r="721" spans="1:10" ht="14.4" thickBot="1" x14ac:dyDescent="0.3">
      <c r="A721" s="28"/>
      <c r="B721" s="44"/>
      <c r="C721" s="44"/>
      <c r="D721" s="45" t="s">
        <v>10</v>
      </c>
      <c r="E721" s="44"/>
      <c r="F721" s="33">
        <f>SUM(F719:F720)</f>
        <v>61254</v>
      </c>
    </row>
    <row r="722" spans="1:10" x14ac:dyDescent="0.25">
      <c r="A722" s="34" t="s">
        <v>11</v>
      </c>
      <c r="B722" s="35" t="s">
        <v>78</v>
      </c>
      <c r="C722" s="36"/>
      <c r="D722" s="36"/>
      <c r="E722" s="36"/>
      <c r="F722" s="37"/>
    </row>
    <row r="723" spans="1:10" ht="14.4" thickBot="1" x14ac:dyDescent="0.3">
      <c r="A723" s="46"/>
      <c r="B723" s="47"/>
      <c r="C723" s="48"/>
      <c r="D723" s="49"/>
      <c r="E723" s="50"/>
      <c r="F723" s="51"/>
    </row>
    <row r="724" spans="1:10" ht="14.4" thickBot="1" x14ac:dyDescent="0.3">
      <c r="A724" s="28"/>
      <c r="B724" s="29"/>
      <c r="C724" s="30"/>
      <c r="D724" s="31" t="s">
        <v>12</v>
      </c>
      <c r="E724" s="32"/>
      <c r="F724" s="33">
        <f>SUM(F723)</f>
        <v>0</v>
      </c>
    </row>
    <row r="725" spans="1:10" x14ac:dyDescent="0.25">
      <c r="A725" s="34" t="s">
        <v>13</v>
      </c>
      <c r="B725" s="35" t="s">
        <v>14</v>
      </c>
      <c r="C725" s="52"/>
      <c r="D725" s="52"/>
      <c r="E725" s="53"/>
      <c r="F725" s="54">
        <f>+F717+F721+F724</f>
        <v>87984</v>
      </c>
    </row>
    <row r="726" spans="1:10" x14ac:dyDescent="0.25">
      <c r="A726" s="10" t="s">
        <v>15</v>
      </c>
      <c r="B726" s="11" t="s">
        <v>51</v>
      </c>
      <c r="C726" s="55"/>
      <c r="D726" s="55"/>
      <c r="E726" s="56"/>
      <c r="F726" s="57">
        <f>F725*15%</f>
        <v>13197.6</v>
      </c>
    </row>
    <row r="727" spans="1:10" ht="14.4" thickBot="1" x14ac:dyDescent="0.3">
      <c r="A727" s="58" t="s">
        <v>16</v>
      </c>
      <c r="B727" s="59" t="s">
        <v>17</v>
      </c>
      <c r="C727" s="60"/>
      <c r="D727" s="60"/>
      <c r="E727" s="61"/>
      <c r="F727" s="62">
        <f>SUM(F725:F726)</f>
        <v>101181.6</v>
      </c>
    </row>
    <row r="729" spans="1:10" ht="14.4" thickBot="1" x14ac:dyDescent="0.3">
      <c r="A729" s="160" t="s">
        <v>569</v>
      </c>
      <c r="B729" s="161" t="s">
        <v>570</v>
      </c>
      <c r="C729" s="162"/>
      <c r="D729" s="162"/>
      <c r="E729" s="162"/>
      <c r="F729" s="162"/>
    </row>
    <row r="730" spans="1:10" ht="28.2" thickBot="1" x14ac:dyDescent="0.3">
      <c r="A730" s="163" t="s">
        <v>2</v>
      </c>
      <c r="B730" s="164" t="s">
        <v>3</v>
      </c>
      <c r="C730" s="164" t="s">
        <v>0</v>
      </c>
      <c r="D730" s="164" t="s">
        <v>4</v>
      </c>
      <c r="E730" s="164" t="s">
        <v>5</v>
      </c>
      <c r="F730" s="165" t="s">
        <v>6</v>
      </c>
    </row>
    <row r="731" spans="1:10" x14ac:dyDescent="0.25">
      <c r="A731" s="166">
        <v>1</v>
      </c>
      <c r="B731" s="167">
        <v>2</v>
      </c>
      <c r="C731" s="167">
        <v>3</v>
      </c>
      <c r="D731" s="167">
        <v>4</v>
      </c>
      <c r="E731" s="167">
        <v>5</v>
      </c>
      <c r="F731" s="168">
        <v>6</v>
      </c>
    </row>
    <row r="732" spans="1:10" x14ac:dyDescent="0.25">
      <c r="A732" s="169" t="s">
        <v>1</v>
      </c>
      <c r="B732" s="170" t="s">
        <v>76</v>
      </c>
      <c r="C732" s="171"/>
      <c r="D732" s="171"/>
      <c r="E732" s="171"/>
      <c r="F732" s="172"/>
    </row>
    <row r="733" spans="1:10" x14ac:dyDescent="0.25">
      <c r="A733" s="173"/>
      <c r="B733" s="174" t="s">
        <v>40</v>
      </c>
      <c r="C733" s="175" t="s">
        <v>7</v>
      </c>
      <c r="D733" s="176">
        <v>0.12</v>
      </c>
      <c r="E733" s="177">
        <f>'HARGA BAHAN'!E4</f>
        <v>125000</v>
      </c>
      <c r="F733" s="178">
        <f>+D733*E733</f>
        <v>15000</v>
      </c>
    </row>
    <row r="734" spans="1:10" x14ac:dyDescent="0.25">
      <c r="A734" s="173"/>
      <c r="B734" s="179" t="s">
        <v>86</v>
      </c>
      <c r="C734" s="180" t="s">
        <v>7</v>
      </c>
      <c r="D734" s="181">
        <v>0.06</v>
      </c>
      <c r="E734" s="177">
        <f>'HARGA BAHAN'!E5</f>
        <v>160000</v>
      </c>
      <c r="F734" s="178">
        <f>+D734*E734</f>
        <v>9600</v>
      </c>
    </row>
    <row r="735" spans="1:10" x14ac:dyDescent="0.25">
      <c r="A735" s="173"/>
      <c r="B735" s="174" t="s">
        <v>87</v>
      </c>
      <c r="C735" s="175" t="s">
        <v>7</v>
      </c>
      <c r="D735" s="176">
        <v>6.0000000000000001E-3</v>
      </c>
      <c r="E735" s="177">
        <f>'HARGA BAHAN'!E6</f>
        <v>180000</v>
      </c>
      <c r="F735" s="178">
        <f>+D735*E735</f>
        <v>1080</v>
      </c>
    </row>
    <row r="736" spans="1:10" ht="14.4" thickBot="1" x14ac:dyDescent="0.3">
      <c r="A736" s="182"/>
      <c r="B736" s="183" t="s">
        <v>42</v>
      </c>
      <c r="C736" s="184" t="s">
        <v>7</v>
      </c>
      <c r="D736" s="185">
        <v>6.0000000000000001E-3</v>
      </c>
      <c r="E736" s="177">
        <f>'HARGA BAHAN'!E7</f>
        <v>175000</v>
      </c>
      <c r="F736" s="178">
        <f>+D736*E736</f>
        <v>1050</v>
      </c>
      <c r="J736" s="1">
        <f>2*0.95</f>
        <v>1.9</v>
      </c>
    </row>
    <row r="737" spans="1:10" ht="14.4" thickBot="1" x14ac:dyDescent="0.3">
      <c r="A737" s="186"/>
      <c r="B737" s="187"/>
      <c r="C737" s="188"/>
      <c r="D737" s="189" t="s">
        <v>8</v>
      </c>
      <c r="E737" s="190"/>
      <c r="F737" s="191">
        <f>SUM(F733:F736)</f>
        <v>26730</v>
      </c>
      <c r="J737" s="1">
        <f>J736*0.58</f>
        <v>1.1019999999999999</v>
      </c>
    </row>
    <row r="738" spans="1:10" x14ac:dyDescent="0.25">
      <c r="A738" s="192" t="s">
        <v>9</v>
      </c>
      <c r="B738" s="193" t="s">
        <v>77</v>
      </c>
      <c r="C738" s="194"/>
      <c r="D738" s="194"/>
      <c r="E738" s="194"/>
      <c r="F738" s="195"/>
    </row>
    <row r="739" spans="1:10" x14ac:dyDescent="0.25">
      <c r="A739" s="196"/>
      <c r="B739" s="197" t="s">
        <v>571</v>
      </c>
      <c r="C739" s="198" t="s">
        <v>248</v>
      </c>
      <c r="D739" s="388">
        <v>0.57999999999999996</v>
      </c>
      <c r="E739" s="200">
        <f>'HARGA BAHAN'!E62</f>
        <v>383500</v>
      </c>
      <c r="F739" s="178">
        <f>+D739*E739</f>
        <v>222429.99999999997</v>
      </c>
    </row>
    <row r="740" spans="1:10" ht="14.4" thickBot="1" x14ac:dyDescent="0.3">
      <c r="A740" s="378"/>
      <c r="B740" s="379" t="s">
        <v>180</v>
      </c>
      <c r="C740" s="380" t="s">
        <v>159</v>
      </c>
      <c r="D740" s="381">
        <v>9</v>
      </c>
      <c r="E740" s="382">
        <f>'HARGA BAHAN'!E79</f>
        <v>550</v>
      </c>
      <c r="F740" s="383">
        <f>+D740*E740</f>
        <v>4950</v>
      </c>
    </row>
    <row r="741" spans="1:10" ht="14.4" thickBot="1" x14ac:dyDescent="0.3">
      <c r="A741" s="186"/>
      <c r="B741" s="205"/>
      <c r="C741" s="205"/>
      <c r="D741" s="206" t="s">
        <v>10</v>
      </c>
      <c r="E741" s="205"/>
      <c r="F741" s="191">
        <f>SUM(F739:F740)</f>
        <v>227379.99999999997</v>
      </c>
    </row>
    <row r="742" spans="1:10" x14ac:dyDescent="0.25">
      <c r="A742" s="192" t="s">
        <v>11</v>
      </c>
      <c r="B742" s="193" t="s">
        <v>78</v>
      </c>
      <c r="C742" s="194"/>
      <c r="D742" s="194"/>
      <c r="E742" s="194"/>
      <c r="F742" s="195"/>
    </row>
    <row r="743" spans="1:10" ht="14.4" thickBot="1" x14ac:dyDescent="0.3">
      <c r="A743" s="207"/>
      <c r="B743" s="208"/>
      <c r="C743" s="209"/>
      <c r="D743" s="210"/>
      <c r="E743" s="211"/>
      <c r="F743" s="212"/>
    </row>
    <row r="744" spans="1:10" ht="14.4" thickBot="1" x14ac:dyDescent="0.3">
      <c r="A744" s="186"/>
      <c r="B744" s="187"/>
      <c r="C744" s="188"/>
      <c r="D744" s="189" t="s">
        <v>12</v>
      </c>
      <c r="E744" s="190"/>
      <c r="F744" s="191">
        <f>SUM(F743)</f>
        <v>0</v>
      </c>
    </row>
    <row r="745" spans="1:10" x14ac:dyDescent="0.25">
      <c r="A745" s="192" t="s">
        <v>13</v>
      </c>
      <c r="B745" s="193" t="s">
        <v>14</v>
      </c>
      <c r="C745" s="213"/>
      <c r="D745" s="213"/>
      <c r="E745" s="214"/>
      <c r="F745" s="215">
        <f>+F737+F741+F744</f>
        <v>254109.99999999997</v>
      </c>
    </row>
    <row r="746" spans="1:10" x14ac:dyDescent="0.25">
      <c r="A746" s="169" t="s">
        <v>15</v>
      </c>
      <c r="B746" s="170" t="s">
        <v>51</v>
      </c>
      <c r="C746" s="216"/>
      <c r="D746" s="216"/>
      <c r="E746" s="217"/>
      <c r="F746" s="218">
        <f>F745*15%</f>
        <v>38116.499999999993</v>
      </c>
    </row>
    <row r="747" spans="1:10" ht="14.4" thickBot="1" x14ac:dyDescent="0.3">
      <c r="A747" s="219" t="s">
        <v>16</v>
      </c>
      <c r="B747" s="220" t="s">
        <v>17</v>
      </c>
      <c r="C747" s="221"/>
      <c r="D747" s="221"/>
      <c r="E747" s="222"/>
      <c r="F747" s="223">
        <f>SUM(F745:F746)</f>
        <v>292226.49999999994</v>
      </c>
    </row>
    <row r="749" spans="1:10" ht="14.4" thickBot="1" x14ac:dyDescent="0.3">
      <c r="A749" s="160" t="s">
        <v>664</v>
      </c>
      <c r="B749" s="161" t="s">
        <v>662</v>
      </c>
      <c r="C749" s="162"/>
      <c r="D749" s="162"/>
      <c r="E749" s="162"/>
      <c r="F749" s="162"/>
    </row>
    <row r="750" spans="1:10" ht="28.2" thickBot="1" x14ac:dyDescent="0.3">
      <c r="A750" s="163" t="s">
        <v>2</v>
      </c>
      <c r="B750" s="164" t="s">
        <v>3</v>
      </c>
      <c r="C750" s="164" t="s">
        <v>0</v>
      </c>
      <c r="D750" s="164" t="s">
        <v>4</v>
      </c>
      <c r="E750" s="164" t="s">
        <v>5</v>
      </c>
      <c r="F750" s="165" t="s">
        <v>6</v>
      </c>
    </row>
    <row r="751" spans="1:10" x14ac:dyDescent="0.25">
      <c r="A751" s="166">
        <v>1</v>
      </c>
      <c r="B751" s="167">
        <v>2</v>
      </c>
      <c r="C751" s="167">
        <v>3</v>
      </c>
      <c r="D751" s="167">
        <v>4</v>
      </c>
      <c r="E751" s="167">
        <v>5</v>
      </c>
      <c r="F751" s="168">
        <v>6</v>
      </c>
    </row>
    <row r="752" spans="1:10" x14ac:dyDescent="0.25">
      <c r="A752" s="169" t="s">
        <v>1</v>
      </c>
      <c r="B752" s="170" t="s">
        <v>76</v>
      </c>
      <c r="C752" s="171"/>
      <c r="D752" s="171"/>
      <c r="E752" s="171"/>
      <c r="F752" s="172"/>
    </row>
    <row r="753" spans="1:6" x14ac:dyDescent="0.25">
      <c r="A753" s="173"/>
      <c r="B753" s="174" t="s">
        <v>40</v>
      </c>
      <c r="C753" s="175" t="s">
        <v>7</v>
      </c>
      <c r="D753" s="176">
        <v>0.25</v>
      </c>
      <c r="E753" s="177">
        <f>'HARGA BAHAN'!E4</f>
        <v>125000</v>
      </c>
      <c r="F753" s="178">
        <f>+D753*E753</f>
        <v>31250</v>
      </c>
    </row>
    <row r="754" spans="1:6" x14ac:dyDescent="0.25">
      <c r="A754" s="173"/>
      <c r="B754" s="179" t="s">
        <v>86</v>
      </c>
      <c r="C754" s="180" t="s">
        <v>7</v>
      </c>
      <c r="D754" s="181">
        <v>0.15</v>
      </c>
      <c r="E754" s="177">
        <f>'HARGA BAHAN'!E5</f>
        <v>160000</v>
      </c>
      <c r="F754" s="178">
        <f>+D754*E754</f>
        <v>24000</v>
      </c>
    </row>
    <row r="755" spans="1:6" x14ac:dyDescent="0.25">
      <c r="A755" s="173"/>
      <c r="B755" s="174" t="s">
        <v>87</v>
      </c>
      <c r="C755" s="175" t="s">
        <v>7</v>
      </c>
      <c r="D755" s="176">
        <v>1.4999999999999999E-2</v>
      </c>
      <c r="E755" s="177">
        <f>'HARGA BAHAN'!E6</f>
        <v>180000</v>
      </c>
      <c r="F755" s="178">
        <f>+D755*E755</f>
        <v>2700</v>
      </c>
    </row>
    <row r="756" spans="1:6" ht="14.4" thickBot="1" x14ac:dyDescent="0.3">
      <c r="A756" s="182"/>
      <c r="B756" s="183" t="s">
        <v>42</v>
      </c>
      <c r="C756" s="184" t="s">
        <v>7</v>
      </c>
      <c r="D756" s="185">
        <v>1.4999999999999999E-2</v>
      </c>
      <c r="E756" s="177">
        <f>'HARGA BAHAN'!E7</f>
        <v>175000</v>
      </c>
      <c r="F756" s="178">
        <f>+D756*E756</f>
        <v>2625</v>
      </c>
    </row>
    <row r="757" spans="1:6" ht="14.4" thickBot="1" x14ac:dyDescent="0.3">
      <c r="A757" s="186"/>
      <c r="B757" s="187"/>
      <c r="C757" s="188"/>
      <c r="D757" s="189" t="s">
        <v>8</v>
      </c>
      <c r="E757" s="190"/>
      <c r="F757" s="191">
        <f>SUM(F753:F756)</f>
        <v>60575</v>
      </c>
    </row>
    <row r="758" spans="1:6" x14ac:dyDescent="0.25">
      <c r="A758" s="192" t="s">
        <v>9</v>
      </c>
      <c r="B758" s="193" t="s">
        <v>77</v>
      </c>
      <c r="C758" s="194"/>
      <c r="D758" s="194"/>
      <c r="E758" s="194"/>
      <c r="F758" s="195"/>
    </row>
    <row r="759" spans="1:6" x14ac:dyDescent="0.25">
      <c r="A759" s="196"/>
      <c r="B759" s="197" t="s">
        <v>663</v>
      </c>
      <c r="C759" s="198" t="s">
        <v>248</v>
      </c>
      <c r="D759" s="388">
        <v>1</v>
      </c>
      <c r="E759" s="200">
        <f>'HARGA BAHAN'!E63</f>
        <v>150000</v>
      </c>
      <c r="F759" s="178">
        <f>+D759*E759</f>
        <v>150000</v>
      </c>
    </row>
    <row r="760" spans="1:6" ht="14.4" thickBot="1" x14ac:dyDescent="0.3">
      <c r="A760" s="378"/>
      <c r="B760" s="379" t="s">
        <v>180</v>
      </c>
      <c r="C760" s="380" t="s">
        <v>159</v>
      </c>
      <c r="D760" s="381">
        <v>8</v>
      </c>
      <c r="E760" s="382">
        <f>'HARGA BAHAN'!E79</f>
        <v>550</v>
      </c>
      <c r="F760" s="383">
        <f>+D760*E760</f>
        <v>4400</v>
      </c>
    </row>
    <row r="761" spans="1:6" ht="14.4" thickBot="1" x14ac:dyDescent="0.3">
      <c r="A761" s="186"/>
      <c r="B761" s="205"/>
      <c r="C761" s="205"/>
      <c r="D761" s="206" t="s">
        <v>10</v>
      </c>
      <c r="E761" s="205"/>
      <c r="F761" s="191">
        <f>SUM(F759:F760)</f>
        <v>154400</v>
      </c>
    </row>
    <row r="762" spans="1:6" x14ac:dyDescent="0.25">
      <c r="A762" s="192" t="s">
        <v>11</v>
      </c>
      <c r="B762" s="193" t="s">
        <v>78</v>
      </c>
      <c r="C762" s="194"/>
      <c r="D762" s="194"/>
      <c r="E762" s="194"/>
      <c r="F762" s="195"/>
    </row>
    <row r="763" spans="1:6" ht="14.4" thickBot="1" x14ac:dyDescent="0.3">
      <c r="A763" s="207"/>
      <c r="B763" s="208"/>
      <c r="C763" s="209"/>
      <c r="D763" s="210"/>
      <c r="E763" s="211"/>
      <c r="F763" s="212"/>
    </row>
    <row r="764" spans="1:6" ht="14.4" thickBot="1" x14ac:dyDescent="0.3">
      <c r="A764" s="186"/>
      <c r="B764" s="187"/>
      <c r="C764" s="188"/>
      <c r="D764" s="189" t="s">
        <v>12</v>
      </c>
      <c r="E764" s="190"/>
      <c r="F764" s="191">
        <f>SUM(F763)</f>
        <v>0</v>
      </c>
    </row>
    <row r="765" spans="1:6" x14ac:dyDescent="0.25">
      <c r="A765" s="192" t="s">
        <v>13</v>
      </c>
      <c r="B765" s="193" t="s">
        <v>14</v>
      </c>
      <c r="C765" s="213"/>
      <c r="D765" s="213"/>
      <c r="E765" s="214"/>
      <c r="F765" s="215">
        <f>+F757+F761+F764</f>
        <v>214975</v>
      </c>
    </row>
    <row r="766" spans="1:6" x14ac:dyDescent="0.25">
      <c r="A766" s="169" t="s">
        <v>15</v>
      </c>
      <c r="B766" s="170" t="s">
        <v>51</v>
      </c>
      <c r="C766" s="216"/>
      <c r="D766" s="216"/>
      <c r="E766" s="217"/>
      <c r="F766" s="218">
        <f>F765*15%</f>
        <v>32246.25</v>
      </c>
    </row>
    <row r="767" spans="1:6" ht="14.4" thickBot="1" x14ac:dyDescent="0.3">
      <c r="A767" s="219" t="s">
        <v>16</v>
      </c>
      <c r="B767" s="220" t="s">
        <v>17</v>
      </c>
      <c r="C767" s="221"/>
      <c r="D767" s="221"/>
      <c r="E767" s="222"/>
      <c r="F767" s="223">
        <f>SUM(F765:F766)</f>
        <v>247221.25</v>
      </c>
    </row>
    <row r="769" spans="1:6" ht="14.4" thickBot="1" x14ac:dyDescent="0.3">
      <c r="A769" s="160" t="s">
        <v>553</v>
      </c>
      <c r="B769" s="161" t="s">
        <v>554</v>
      </c>
      <c r="C769" s="162"/>
      <c r="D769" s="162"/>
      <c r="E769" s="162"/>
      <c r="F769" s="162"/>
    </row>
    <row r="770" spans="1:6" ht="28.2" thickBot="1" x14ac:dyDescent="0.3">
      <c r="A770" s="163" t="s">
        <v>2</v>
      </c>
      <c r="B770" s="164" t="s">
        <v>3</v>
      </c>
      <c r="C770" s="164" t="s">
        <v>0</v>
      </c>
      <c r="D770" s="164" t="s">
        <v>4</v>
      </c>
      <c r="E770" s="164" t="s">
        <v>5</v>
      </c>
      <c r="F770" s="165" t="s">
        <v>6</v>
      </c>
    </row>
    <row r="771" spans="1:6" x14ac:dyDescent="0.25">
      <c r="A771" s="166">
        <v>1</v>
      </c>
      <c r="B771" s="167">
        <v>2</v>
      </c>
      <c r="C771" s="167">
        <v>3</v>
      </c>
      <c r="D771" s="167">
        <v>4</v>
      </c>
      <c r="E771" s="167">
        <v>5</v>
      </c>
      <c r="F771" s="168">
        <v>6</v>
      </c>
    </row>
    <row r="772" spans="1:6" x14ac:dyDescent="0.25">
      <c r="A772" s="169" t="s">
        <v>1</v>
      </c>
      <c r="B772" s="170" t="s">
        <v>76</v>
      </c>
      <c r="C772" s="171"/>
      <c r="D772" s="171"/>
      <c r="E772" s="171"/>
      <c r="F772" s="172"/>
    </row>
    <row r="773" spans="1:6" x14ac:dyDescent="0.25">
      <c r="A773" s="173"/>
      <c r="B773" s="174" t="s">
        <v>40</v>
      </c>
      <c r="C773" s="175" t="s">
        <v>7</v>
      </c>
      <c r="D773" s="176">
        <v>0.12</v>
      </c>
      <c r="E773" s="177">
        <f>'HARGA BAHAN'!E4</f>
        <v>125000</v>
      </c>
      <c r="F773" s="178">
        <f>+D773*E773</f>
        <v>15000</v>
      </c>
    </row>
    <row r="774" spans="1:6" x14ac:dyDescent="0.25">
      <c r="A774" s="173"/>
      <c r="B774" s="179" t="s">
        <v>86</v>
      </c>
      <c r="C774" s="180" t="s">
        <v>7</v>
      </c>
      <c r="D774" s="181">
        <v>0.06</v>
      </c>
      <c r="E774" s="177">
        <f>'HARGA BAHAN'!E5</f>
        <v>160000</v>
      </c>
      <c r="F774" s="178">
        <f>+D774*E774</f>
        <v>9600</v>
      </c>
    </row>
    <row r="775" spans="1:6" x14ac:dyDescent="0.25">
      <c r="A775" s="173"/>
      <c r="B775" s="174" t="s">
        <v>87</v>
      </c>
      <c r="C775" s="175" t="s">
        <v>7</v>
      </c>
      <c r="D775" s="176">
        <v>6.0000000000000001E-3</v>
      </c>
      <c r="E775" s="177">
        <f>'HARGA BAHAN'!E6</f>
        <v>180000</v>
      </c>
      <c r="F775" s="178">
        <f>+D775*E775</f>
        <v>1080</v>
      </c>
    </row>
    <row r="776" spans="1:6" ht="14.4" thickBot="1" x14ac:dyDescent="0.3">
      <c r="A776" s="182"/>
      <c r="B776" s="183" t="s">
        <v>42</v>
      </c>
      <c r="C776" s="184" t="s">
        <v>7</v>
      </c>
      <c r="D776" s="185">
        <v>6.0000000000000001E-3</v>
      </c>
      <c r="E776" s="177">
        <f>'HARGA BAHAN'!E7</f>
        <v>175000</v>
      </c>
      <c r="F776" s="178">
        <f>+D776*E776</f>
        <v>1050</v>
      </c>
    </row>
    <row r="777" spans="1:6" ht="14.4" thickBot="1" x14ac:dyDescent="0.3">
      <c r="A777" s="186"/>
      <c r="B777" s="187"/>
      <c r="C777" s="188"/>
      <c r="D777" s="189" t="s">
        <v>8</v>
      </c>
      <c r="E777" s="190"/>
      <c r="F777" s="191">
        <f>SUM(F773:F776)</f>
        <v>26730</v>
      </c>
    </row>
    <row r="778" spans="1:6" x14ac:dyDescent="0.25">
      <c r="A778" s="192" t="s">
        <v>9</v>
      </c>
      <c r="B778" s="193" t="s">
        <v>77</v>
      </c>
      <c r="C778" s="194"/>
      <c r="D778" s="194"/>
      <c r="E778" s="194"/>
      <c r="F778" s="195"/>
    </row>
    <row r="779" spans="1:6" ht="14.4" thickBot="1" x14ac:dyDescent="0.3">
      <c r="A779" s="196"/>
      <c r="B779" s="197" t="s">
        <v>530</v>
      </c>
      <c r="C779" s="198" t="s">
        <v>181</v>
      </c>
      <c r="D779" s="388">
        <v>1.05</v>
      </c>
      <c r="E779" s="200">
        <f>'HARGA BAHAN'!E69</f>
        <v>12166.666666666666</v>
      </c>
      <c r="F779" s="178">
        <f>+D779*E779</f>
        <v>12775</v>
      </c>
    </row>
    <row r="780" spans="1:6" ht="14.4" thickBot="1" x14ac:dyDescent="0.3">
      <c r="A780" s="186"/>
      <c r="B780" s="205"/>
      <c r="C780" s="205"/>
      <c r="D780" s="206" t="s">
        <v>10</v>
      </c>
      <c r="E780" s="205"/>
      <c r="F780" s="191">
        <f>SUM(F779:F779)</f>
        <v>12775</v>
      </c>
    </row>
    <row r="781" spans="1:6" x14ac:dyDescent="0.25">
      <c r="A781" s="192" t="s">
        <v>11</v>
      </c>
      <c r="B781" s="193" t="s">
        <v>78</v>
      </c>
      <c r="C781" s="194"/>
      <c r="D781" s="194"/>
      <c r="E781" s="194"/>
      <c r="F781" s="195"/>
    </row>
    <row r="782" spans="1:6" ht="14.4" thickBot="1" x14ac:dyDescent="0.3">
      <c r="A782" s="207"/>
      <c r="B782" s="208"/>
      <c r="C782" s="209"/>
      <c r="D782" s="210"/>
      <c r="E782" s="211"/>
      <c r="F782" s="212"/>
    </row>
    <row r="783" spans="1:6" ht="14.4" thickBot="1" x14ac:dyDescent="0.3">
      <c r="A783" s="186"/>
      <c r="B783" s="187"/>
      <c r="C783" s="188"/>
      <c r="D783" s="189" t="s">
        <v>12</v>
      </c>
      <c r="E783" s="190"/>
      <c r="F783" s="191">
        <f>SUM(F782)</f>
        <v>0</v>
      </c>
    </row>
    <row r="784" spans="1:6" x14ac:dyDescent="0.25">
      <c r="A784" s="192" t="s">
        <v>13</v>
      </c>
      <c r="B784" s="193" t="s">
        <v>14</v>
      </c>
      <c r="C784" s="213"/>
      <c r="D784" s="213"/>
      <c r="E784" s="214"/>
      <c r="F784" s="215">
        <f>+F777+F780+F783</f>
        <v>39505</v>
      </c>
    </row>
    <row r="785" spans="1:6" x14ac:dyDescent="0.25">
      <c r="A785" s="169" t="s">
        <v>15</v>
      </c>
      <c r="B785" s="170" t="s">
        <v>51</v>
      </c>
      <c r="C785" s="216"/>
      <c r="D785" s="216"/>
      <c r="E785" s="217"/>
      <c r="F785" s="218">
        <f>F784*15%</f>
        <v>5925.75</v>
      </c>
    </row>
    <row r="786" spans="1:6" ht="14.4" thickBot="1" x14ac:dyDescent="0.3">
      <c r="A786" s="219" t="s">
        <v>16</v>
      </c>
      <c r="B786" s="220" t="s">
        <v>17</v>
      </c>
      <c r="C786" s="221"/>
      <c r="D786" s="221"/>
      <c r="E786" s="222"/>
      <c r="F786" s="223">
        <f>SUM(F784:F785)</f>
        <v>45430.75</v>
      </c>
    </row>
    <row r="788" spans="1:6" ht="14.4" thickBot="1" x14ac:dyDescent="0.3">
      <c r="A788" s="160" t="s">
        <v>562</v>
      </c>
      <c r="B788" s="161" t="s">
        <v>560</v>
      </c>
      <c r="C788" s="162"/>
      <c r="D788" s="162"/>
      <c r="E788" s="162"/>
      <c r="F788" s="162"/>
    </row>
    <row r="789" spans="1:6" ht="28.2" thickBot="1" x14ac:dyDescent="0.3">
      <c r="A789" s="163" t="s">
        <v>2</v>
      </c>
      <c r="B789" s="164" t="s">
        <v>3</v>
      </c>
      <c r="C789" s="164" t="s">
        <v>0</v>
      </c>
      <c r="D789" s="164" t="s">
        <v>4</v>
      </c>
      <c r="E789" s="164" t="s">
        <v>5</v>
      </c>
      <c r="F789" s="165" t="s">
        <v>6</v>
      </c>
    </row>
    <row r="790" spans="1:6" x14ac:dyDescent="0.25">
      <c r="A790" s="166">
        <v>1</v>
      </c>
      <c r="B790" s="167">
        <v>2</v>
      </c>
      <c r="C790" s="167">
        <v>3</v>
      </c>
      <c r="D790" s="167">
        <v>4</v>
      </c>
      <c r="E790" s="167">
        <v>5</v>
      </c>
      <c r="F790" s="168">
        <v>6</v>
      </c>
    </row>
    <row r="791" spans="1:6" x14ac:dyDescent="0.25">
      <c r="A791" s="169" t="s">
        <v>1</v>
      </c>
      <c r="B791" s="170" t="s">
        <v>76</v>
      </c>
      <c r="C791" s="171"/>
      <c r="D791" s="171"/>
      <c r="E791" s="171"/>
      <c r="F791" s="172"/>
    </row>
    <row r="792" spans="1:6" x14ac:dyDescent="0.25">
      <c r="A792" s="173"/>
      <c r="B792" s="174" t="s">
        <v>40</v>
      </c>
      <c r="C792" s="175" t="s">
        <v>7</v>
      </c>
      <c r="D792" s="176">
        <v>0.08</v>
      </c>
      <c r="E792" s="177">
        <f>'HARGA BAHAN'!E4</f>
        <v>125000</v>
      </c>
      <c r="F792" s="178">
        <f>+D792*E792</f>
        <v>10000</v>
      </c>
    </row>
    <row r="793" spans="1:6" x14ac:dyDescent="0.25">
      <c r="A793" s="173"/>
      <c r="B793" s="179" t="s">
        <v>86</v>
      </c>
      <c r="C793" s="180" t="s">
        <v>7</v>
      </c>
      <c r="D793" s="181">
        <v>0.04</v>
      </c>
      <c r="E793" s="177">
        <f>'HARGA BAHAN'!E5</f>
        <v>160000</v>
      </c>
      <c r="F793" s="178">
        <f>+D793*E793</f>
        <v>6400</v>
      </c>
    </row>
    <row r="794" spans="1:6" x14ac:dyDescent="0.25">
      <c r="A794" s="173"/>
      <c r="B794" s="174" t="s">
        <v>87</v>
      </c>
      <c r="C794" s="175" t="s">
        <v>7</v>
      </c>
      <c r="D794" s="176">
        <v>4.0000000000000001E-3</v>
      </c>
      <c r="E794" s="177">
        <f>'HARGA BAHAN'!E6</f>
        <v>180000</v>
      </c>
      <c r="F794" s="178">
        <f>+D794*E794</f>
        <v>720</v>
      </c>
    </row>
    <row r="795" spans="1:6" ht="14.4" thickBot="1" x14ac:dyDescent="0.3">
      <c r="A795" s="182"/>
      <c r="B795" s="183" t="s">
        <v>42</v>
      </c>
      <c r="C795" s="184" t="s">
        <v>7</v>
      </c>
      <c r="D795" s="185">
        <v>4.0000000000000001E-3</v>
      </c>
      <c r="E795" s="177">
        <f>'HARGA BAHAN'!E7</f>
        <v>175000</v>
      </c>
      <c r="F795" s="178">
        <f>+D795*E795</f>
        <v>700</v>
      </c>
    </row>
    <row r="796" spans="1:6" ht="14.4" thickBot="1" x14ac:dyDescent="0.3">
      <c r="A796" s="186"/>
      <c r="B796" s="187"/>
      <c r="C796" s="188"/>
      <c r="D796" s="189" t="s">
        <v>8</v>
      </c>
      <c r="E796" s="190"/>
      <c r="F796" s="191">
        <f>SUM(F792:F795)</f>
        <v>17820</v>
      </c>
    </row>
    <row r="797" spans="1:6" x14ac:dyDescent="0.25">
      <c r="A797" s="192" t="s">
        <v>9</v>
      </c>
      <c r="B797" s="193" t="s">
        <v>77</v>
      </c>
      <c r="C797" s="194"/>
      <c r="D797" s="194"/>
      <c r="E797" s="194"/>
      <c r="F797" s="195"/>
    </row>
    <row r="798" spans="1:6" ht="14.4" thickBot="1" x14ac:dyDescent="0.3">
      <c r="A798" s="196"/>
      <c r="B798" s="197" t="s">
        <v>561</v>
      </c>
      <c r="C798" s="198" t="s">
        <v>181</v>
      </c>
      <c r="D798" s="388">
        <v>1.05</v>
      </c>
      <c r="E798" s="200">
        <f>'HARGA BAHAN'!E66</f>
        <v>19850</v>
      </c>
      <c r="F798" s="178">
        <f>+D798*E798</f>
        <v>20842.5</v>
      </c>
    </row>
    <row r="799" spans="1:6" ht="14.4" thickBot="1" x14ac:dyDescent="0.3">
      <c r="A799" s="186"/>
      <c r="B799" s="205"/>
      <c r="C799" s="205"/>
      <c r="D799" s="206" t="s">
        <v>10</v>
      </c>
      <c r="E799" s="205"/>
      <c r="F799" s="191">
        <f>SUM(F798:F798)</f>
        <v>20842.5</v>
      </c>
    </row>
    <row r="800" spans="1:6" x14ac:dyDescent="0.25">
      <c r="A800" s="192" t="s">
        <v>11</v>
      </c>
      <c r="B800" s="193" t="s">
        <v>78</v>
      </c>
      <c r="C800" s="194"/>
      <c r="D800" s="194"/>
      <c r="E800" s="194"/>
      <c r="F800" s="195"/>
    </row>
    <row r="801" spans="1:6" ht="14.4" thickBot="1" x14ac:dyDescent="0.3">
      <c r="A801" s="207"/>
      <c r="B801" s="208"/>
      <c r="C801" s="209"/>
      <c r="D801" s="210"/>
      <c r="E801" s="211"/>
      <c r="F801" s="212"/>
    </row>
    <row r="802" spans="1:6" ht="14.4" thickBot="1" x14ac:dyDescent="0.3">
      <c r="A802" s="186"/>
      <c r="B802" s="187"/>
      <c r="C802" s="188"/>
      <c r="D802" s="189" t="s">
        <v>12</v>
      </c>
      <c r="E802" s="190"/>
      <c r="F802" s="191">
        <f>SUM(F801)</f>
        <v>0</v>
      </c>
    </row>
    <row r="803" spans="1:6" x14ac:dyDescent="0.25">
      <c r="A803" s="192" t="s">
        <v>13</v>
      </c>
      <c r="B803" s="193" t="s">
        <v>14</v>
      </c>
      <c r="C803" s="213"/>
      <c r="D803" s="213"/>
      <c r="E803" s="214"/>
      <c r="F803" s="215">
        <f>+F796+F799+F802</f>
        <v>38662.5</v>
      </c>
    </row>
    <row r="804" spans="1:6" x14ac:dyDescent="0.25">
      <c r="A804" s="169" t="s">
        <v>15</v>
      </c>
      <c r="B804" s="170" t="s">
        <v>51</v>
      </c>
      <c r="C804" s="216"/>
      <c r="D804" s="216"/>
      <c r="E804" s="217"/>
      <c r="F804" s="218">
        <f>F803*15%</f>
        <v>5799.375</v>
      </c>
    </row>
    <row r="805" spans="1:6" ht="14.4" thickBot="1" x14ac:dyDescent="0.3">
      <c r="A805" s="219" t="s">
        <v>16</v>
      </c>
      <c r="B805" s="220" t="s">
        <v>17</v>
      </c>
      <c r="C805" s="221"/>
      <c r="D805" s="221"/>
      <c r="E805" s="222"/>
      <c r="F805" s="223">
        <f>SUM(F803:F804)</f>
        <v>44461.875</v>
      </c>
    </row>
    <row r="807" spans="1:6" ht="14.4" thickBot="1" x14ac:dyDescent="0.3">
      <c r="A807" s="160" t="s">
        <v>317</v>
      </c>
      <c r="B807" s="161" t="s">
        <v>318</v>
      </c>
      <c r="C807" s="162"/>
      <c r="D807" s="162"/>
      <c r="E807" s="162"/>
      <c r="F807" s="162"/>
    </row>
    <row r="808" spans="1:6" ht="28.2" thickBot="1" x14ac:dyDescent="0.3">
      <c r="A808" s="163" t="s">
        <v>2</v>
      </c>
      <c r="B808" s="164" t="s">
        <v>3</v>
      </c>
      <c r="C808" s="164" t="s">
        <v>0</v>
      </c>
      <c r="D808" s="164" t="s">
        <v>4</v>
      </c>
      <c r="E808" s="164" t="s">
        <v>5</v>
      </c>
      <c r="F808" s="165" t="s">
        <v>6</v>
      </c>
    </row>
    <row r="809" spans="1:6" x14ac:dyDescent="0.25">
      <c r="A809" s="166">
        <v>1</v>
      </c>
      <c r="B809" s="167">
        <v>2</v>
      </c>
      <c r="C809" s="167">
        <v>3</v>
      </c>
      <c r="D809" s="167">
        <v>4</v>
      </c>
      <c r="E809" s="167">
        <v>5</v>
      </c>
      <c r="F809" s="168">
        <v>6</v>
      </c>
    </row>
    <row r="810" spans="1:6" x14ac:dyDescent="0.25">
      <c r="A810" s="169" t="s">
        <v>1</v>
      </c>
      <c r="B810" s="170" t="s">
        <v>150</v>
      </c>
      <c r="C810" s="171"/>
      <c r="D810" s="171"/>
      <c r="E810" s="171"/>
      <c r="F810" s="172"/>
    </row>
    <row r="811" spans="1:6" x14ac:dyDescent="0.25">
      <c r="A811" s="173"/>
      <c r="B811" s="174" t="s">
        <v>151</v>
      </c>
      <c r="C811" s="175" t="s">
        <v>7</v>
      </c>
      <c r="D811" s="176">
        <v>0.1</v>
      </c>
      <c r="E811" s="177">
        <f>'HARGA BAHAN'!E4</f>
        <v>125000</v>
      </c>
      <c r="F811" s="178">
        <f t="shared" ref="F811" si="16">+D811*E811</f>
        <v>12500</v>
      </c>
    </row>
    <row r="812" spans="1:6" x14ac:dyDescent="0.25">
      <c r="A812" s="173"/>
      <c r="B812" s="179" t="s">
        <v>319</v>
      </c>
      <c r="C812" s="180" t="s">
        <v>7</v>
      </c>
      <c r="D812" s="181">
        <v>0.05</v>
      </c>
      <c r="E812" s="177">
        <f>'HARGA BAHAN'!E5</f>
        <v>160000</v>
      </c>
      <c r="F812" s="423">
        <f>+D812*E812</f>
        <v>8000</v>
      </c>
    </row>
    <row r="813" spans="1:6" x14ac:dyDescent="0.25">
      <c r="A813" s="173"/>
      <c r="B813" s="174" t="s">
        <v>153</v>
      </c>
      <c r="C813" s="175" t="s">
        <v>7</v>
      </c>
      <c r="D813" s="176">
        <v>5.0000000000000001E-3</v>
      </c>
      <c r="E813" s="177">
        <f>'HARGA BAHAN'!E6</f>
        <v>180000</v>
      </c>
      <c r="F813" s="178">
        <f t="shared" ref="F813:F814" si="17">+D813*E813</f>
        <v>900</v>
      </c>
    </row>
    <row r="814" spans="1:6" ht="14.4" thickBot="1" x14ac:dyDescent="0.3">
      <c r="A814" s="182"/>
      <c r="B814" s="183" t="s">
        <v>154</v>
      </c>
      <c r="C814" s="184" t="s">
        <v>7</v>
      </c>
      <c r="D814" s="185">
        <v>5.0000000000000001E-3</v>
      </c>
      <c r="E814" s="177">
        <f>'HARGA BAHAN'!E7</f>
        <v>175000</v>
      </c>
      <c r="F814" s="424">
        <f t="shared" si="17"/>
        <v>875</v>
      </c>
    </row>
    <row r="815" spans="1:6" ht="14.4" thickBot="1" x14ac:dyDescent="0.3">
      <c r="A815" s="186"/>
      <c r="B815" s="187"/>
      <c r="C815" s="188"/>
      <c r="D815" s="189" t="s">
        <v>8</v>
      </c>
      <c r="E815" s="190"/>
      <c r="F815" s="191">
        <f>SUM(F811:F814)</f>
        <v>22275</v>
      </c>
    </row>
    <row r="816" spans="1:6" x14ac:dyDescent="0.25">
      <c r="A816" s="192" t="s">
        <v>9</v>
      </c>
      <c r="B816" s="193" t="s">
        <v>155</v>
      </c>
      <c r="C816" s="194"/>
      <c r="D816" s="194"/>
      <c r="E816" s="194"/>
      <c r="F816" s="195"/>
    </row>
    <row r="817" spans="1:6" x14ac:dyDescent="0.25">
      <c r="A817" s="196"/>
      <c r="B817" s="197" t="s">
        <v>320</v>
      </c>
      <c r="C817" s="198" t="s">
        <v>181</v>
      </c>
      <c r="D817" s="388">
        <v>0.36399999999999999</v>
      </c>
      <c r="E817" s="200">
        <f>'HARGA BAHAN'!E123</f>
        <v>102800</v>
      </c>
      <c r="F817" s="201">
        <f t="shared" ref="F817" si="18">+D817*E817</f>
        <v>37419.199999999997</v>
      </c>
    </row>
    <row r="818" spans="1:6" ht="14.4" thickBot="1" x14ac:dyDescent="0.3">
      <c r="A818" s="173"/>
      <c r="B818" s="174" t="s">
        <v>22</v>
      </c>
      <c r="C818" s="175" t="s">
        <v>213</v>
      </c>
      <c r="D818" s="176">
        <v>0.11</v>
      </c>
      <c r="E818" s="177">
        <f>'HARGA BAHAN'!E121</f>
        <v>32000</v>
      </c>
      <c r="F818" s="178">
        <f>+D818*E818</f>
        <v>3520</v>
      </c>
    </row>
    <row r="819" spans="1:6" ht="14.4" thickBot="1" x14ac:dyDescent="0.3">
      <c r="A819" s="186"/>
      <c r="B819" s="205"/>
      <c r="C819" s="205"/>
      <c r="D819" s="206" t="s">
        <v>10</v>
      </c>
      <c r="E819" s="205"/>
      <c r="F819" s="191">
        <f>SUM(F817:F818)</f>
        <v>40939.199999999997</v>
      </c>
    </row>
    <row r="820" spans="1:6" x14ac:dyDescent="0.25">
      <c r="A820" s="192" t="s">
        <v>11</v>
      </c>
      <c r="B820" s="193" t="s">
        <v>160</v>
      </c>
      <c r="C820" s="194"/>
      <c r="D820" s="194"/>
      <c r="E820" s="194"/>
      <c r="F820" s="195"/>
    </row>
    <row r="821" spans="1:6" ht="14.4" thickBot="1" x14ac:dyDescent="0.3">
      <c r="A821" s="207"/>
      <c r="B821" s="208"/>
      <c r="C821" s="209"/>
      <c r="D821" s="210"/>
      <c r="E821" s="211"/>
      <c r="F821" s="212"/>
    </row>
    <row r="822" spans="1:6" ht="14.4" thickBot="1" x14ac:dyDescent="0.3">
      <c r="A822" s="186"/>
      <c r="B822" s="187"/>
      <c r="C822" s="188"/>
      <c r="D822" s="189" t="s">
        <v>12</v>
      </c>
      <c r="E822" s="190"/>
      <c r="F822" s="191">
        <f>SUM(F821)</f>
        <v>0</v>
      </c>
    </row>
    <row r="823" spans="1:6" x14ac:dyDescent="0.25">
      <c r="A823" s="192" t="s">
        <v>13</v>
      </c>
      <c r="B823" s="193" t="s">
        <v>14</v>
      </c>
      <c r="C823" s="213"/>
      <c r="D823" s="213"/>
      <c r="E823" s="214"/>
      <c r="F823" s="215">
        <f>+F815+F819+F822</f>
        <v>63214.2</v>
      </c>
    </row>
    <row r="824" spans="1:6" x14ac:dyDescent="0.25">
      <c r="A824" s="169" t="s">
        <v>15</v>
      </c>
      <c r="B824" s="170" t="s">
        <v>51</v>
      </c>
      <c r="C824" s="216"/>
      <c r="D824" s="216"/>
      <c r="E824" s="217"/>
      <c r="F824" s="218">
        <f>F823*15%</f>
        <v>9482.1299999999992</v>
      </c>
    </row>
    <row r="825" spans="1:6" ht="14.4" thickBot="1" x14ac:dyDescent="0.3">
      <c r="A825" s="219" t="s">
        <v>16</v>
      </c>
      <c r="B825" s="220" t="s">
        <v>17</v>
      </c>
      <c r="C825" s="221"/>
      <c r="D825" s="221"/>
      <c r="E825" s="222"/>
      <c r="F825" s="223">
        <f>SUM(F823:F824)</f>
        <v>72696.33</v>
      </c>
    </row>
    <row r="827" spans="1:6" ht="14.4" thickBot="1" x14ac:dyDescent="0.3">
      <c r="A827" s="71" t="s">
        <v>322</v>
      </c>
      <c r="B827" s="2" t="s">
        <v>323</v>
      </c>
      <c r="C827" s="3"/>
      <c r="D827" s="3"/>
      <c r="E827" s="3"/>
      <c r="F827" s="3"/>
    </row>
    <row r="828" spans="1:6" ht="28.2" thickBot="1" x14ac:dyDescent="0.3">
      <c r="A828" s="4" t="s">
        <v>2</v>
      </c>
      <c r="B828" s="5" t="s">
        <v>3</v>
      </c>
      <c r="C828" s="5" t="s">
        <v>0</v>
      </c>
      <c r="D828" s="5" t="s">
        <v>4</v>
      </c>
      <c r="E828" s="5" t="s">
        <v>5</v>
      </c>
      <c r="F828" s="6" t="s">
        <v>6</v>
      </c>
    </row>
    <row r="829" spans="1:6" x14ac:dyDescent="0.25">
      <c r="A829" s="7">
        <v>1</v>
      </c>
      <c r="B829" s="8">
        <v>2</v>
      </c>
      <c r="C829" s="8">
        <v>3</v>
      </c>
      <c r="D829" s="8">
        <v>4</v>
      </c>
      <c r="E829" s="8">
        <v>5</v>
      </c>
      <c r="F829" s="9">
        <v>6</v>
      </c>
    </row>
    <row r="830" spans="1:6" x14ac:dyDescent="0.25">
      <c r="A830" s="10" t="s">
        <v>1</v>
      </c>
      <c r="B830" s="11" t="s">
        <v>150</v>
      </c>
      <c r="C830" s="12"/>
      <c r="D830" s="12"/>
      <c r="E830" s="12"/>
      <c r="F830" s="13"/>
    </row>
    <row r="831" spans="1:6" x14ac:dyDescent="0.25">
      <c r="A831" s="14"/>
      <c r="B831" s="15" t="s">
        <v>151</v>
      </c>
      <c r="C831" s="16" t="s">
        <v>7</v>
      </c>
      <c r="D831" s="17">
        <v>0.1</v>
      </c>
      <c r="E831" s="18">
        <f>'HARGA BAHAN'!E4</f>
        <v>125000</v>
      </c>
      <c r="F831" s="19">
        <f t="shared" ref="F831" si="19">+D831*E831</f>
        <v>12500</v>
      </c>
    </row>
    <row r="832" spans="1:6" x14ac:dyDescent="0.25">
      <c r="A832" s="14"/>
      <c r="B832" s="20" t="s">
        <v>152</v>
      </c>
      <c r="C832" s="21" t="s">
        <v>7</v>
      </c>
      <c r="D832" s="22">
        <v>0.1</v>
      </c>
      <c r="E832" s="18">
        <f>'HARGA BAHAN'!E5</f>
        <v>160000</v>
      </c>
      <c r="F832" s="159">
        <f>+D832*E832</f>
        <v>16000</v>
      </c>
    </row>
    <row r="833" spans="1:6" x14ac:dyDescent="0.25">
      <c r="A833" s="14"/>
      <c r="B833" s="15" t="s">
        <v>153</v>
      </c>
      <c r="C833" s="16" t="s">
        <v>7</v>
      </c>
      <c r="D833" s="17">
        <v>0.01</v>
      </c>
      <c r="E833" s="18">
        <f>'HARGA BAHAN'!E6</f>
        <v>180000</v>
      </c>
      <c r="F833" s="19">
        <f t="shared" ref="F833:F834" si="20">+D833*E833</f>
        <v>1800</v>
      </c>
    </row>
    <row r="834" spans="1:6" ht="14.4" thickBot="1" x14ac:dyDescent="0.3">
      <c r="A834" s="24"/>
      <c r="B834" s="25" t="s">
        <v>154</v>
      </c>
      <c r="C834" s="26" t="s">
        <v>7</v>
      </c>
      <c r="D834" s="27">
        <v>5.0000000000000001E-3</v>
      </c>
      <c r="E834" s="18">
        <f>'HARGA BAHAN'!E7</f>
        <v>175000</v>
      </c>
      <c r="F834" s="157">
        <f t="shared" si="20"/>
        <v>875</v>
      </c>
    </row>
    <row r="835" spans="1:6" ht="14.4" thickBot="1" x14ac:dyDescent="0.3">
      <c r="A835" s="28"/>
      <c r="B835" s="29"/>
      <c r="C835" s="30"/>
      <c r="D835" s="31" t="s">
        <v>8</v>
      </c>
      <c r="E835" s="32"/>
      <c r="F835" s="33">
        <f>SUM(F831:F834)</f>
        <v>31175</v>
      </c>
    </row>
    <row r="836" spans="1:6" x14ac:dyDescent="0.25">
      <c r="A836" s="34" t="s">
        <v>9</v>
      </c>
      <c r="B836" s="35" t="s">
        <v>155</v>
      </c>
      <c r="C836" s="36"/>
      <c r="D836" s="36"/>
      <c r="E836" s="36"/>
      <c r="F836" s="37"/>
    </row>
    <row r="837" spans="1:6" x14ac:dyDescent="0.25">
      <c r="A837" s="38"/>
      <c r="B837" s="39" t="s">
        <v>326</v>
      </c>
      <c r="C837" s="40" t="s">
        <v>248</v>
      </c>
      <c r="D837" s="41">
        <v>0.375</v>
      </c>
      <c r="E837" s="42">
        <f>'HARGA BAHAN'!E124</f>
        <v>103000</v>
      </c>
      <c r="F837" s="43">
        <f t="shared" ref="F837" si="21">+D837*E837</f>
        <v>38625</v>
      </c>
    </row>
    <row r="838" spans="1:6" ht="14.4" thickBot="1" x14ac:dyDescent="0.3">
      <c r="A838" s="63"/>
      <c r="B838" s="64" t="s">
        <v>324</v>
      </c>
      <c r="C838" s="65" t="s">
        <v>213</v>
      </c>
      <c r="D838" s="66">
        <v>0.03</v>
      </c>
      <c r="E838" s="67">
        <f>'HARGA BAHAN'!E121</f>
        <v>32000</v>
      </c>
      <c r="F838" s="416">
        <f>+D838*E838</f>
        <v>960</v>
      </c>
    </row>
    <row r="839" spans="1:6" ht="14.4" thickBot="1" x14ac:dyDescent="0.3">
      <c r="A839" s="28"/>
      <c r="B839" s="44"/>
      <c r="C839" s="44"/>
      <c r="D839" s="45" t="s">
        <v>10</v>
      </c>
      <c r="E839" s="44"/>
      <c r="F839" s="33">
        <f>SUM(F837:F838)</f>
        <v>39585</v>
      </c>
    </row>
    <row r="840" spans="1:6" x14ac:dyDescent="0.25">
      <c r="A840" s="34" t="s">
        <v>11</v>
      </c>
      <c r="B840" s="35" t="s">
        <v>160</v>
      </c>
      <c r="C840" s="36"/>
      <c r="D840" s="36"/>
      <c r="E840" s="36"/>
      <c r="F840" s="37"/>
    </row>
    <row r="841" spans="1:6" ht="14.4" thickBot="1" x14ac:dyDescent="0.3">
      <c r="A841" s="46"/>
      <c r="B841" s="47"/>
      <c r="C841" s="48"/>
      <c r="D841" s="49"/>
      <c r="E841" s="50"/>
      <c r="F841" s="51"/>
    </row>
    <row r="842" spans="1:6" ht="14.4" thickBot="1" x14ac:dyDescent="0.3">
      <c r="A842" s="28"/>
      <c r="B842" s="29"/>
      <c r="C842" s="30"/>
      <c r="D842" s="31" t="s">
        <v>12</v>
      </c>
      <c r="E842" s="32"/>
      <c r="F842" s="33">
        <f>SUM(F841)</f>
        <v>0</v>
      </c>
    </row>
    <row r="843" spans="1:6" x14ac:dyDescent="0.25">
      <c r="A843" s="34" t="s">
        <v>13</v>
      </c>
      <c r="B843" s="35" t="s">
        <v>14</v>
      </c>
      <c r="C843" s="52"/>
      <c r="D843" s="52"/>
      <c r="E843" s="53"/>
      <c r="F843" s="54">
        <f>+F835+F839+F842</f>
        <v>70760</v>
      </c>
    </row>
    <row r="844" spans="1:6" x14ac:dyDescent="0.25">
      <c r="A844" s="10" t="s">
        <v>15</v>
      </c>
      <c r="B844" s="11" t="s">
        <v>51</v>
      </c>
      <c r="C844" s="55"/>
      <c r="D844" s="55"/>
      <c r="E844" s="56"/>
      <c r="F844" s="57">
        <f>F843*0.15</f>
        <v>10614</v>
      </c>
    </row>
    <row r="845" spans="1:6" ht="14.4" thickBot="1" x14ac:dyDescent="0.3">
      <c r="A845" s="58" t="s">
        <v>16</v>
      </c>
      <c r="B845" s="59" t="s">
        <v>17</v>
      </c>
      <c r="C845" s="60"/>
      <c r="D845" s="60"/>
      <c r="E845" s="61"/>
      <c r="F845" s="62">
        <f>SUM(F843:F844)</f>
        <v>81374</v>
      </c>
    </row>
    <row r="847" spans="1:6" ht="14.4" thickBot="1" x14ac:dyDescent="0.3">
      <c r="A847" s="71" t="s">
        <v>121</v>
      </c>
      <c r="B847" s="2" t="s">
        <v>123</v>
      </c>
      <c r="C847" s="3"/>
      <c r="D847" s="3"/>
      <c r="E847" s="3"/>
      <c r="F847" s="3"/>
    </row>
    <row r="848" spans="1:6" ht="28.2" thickBot="1" x14ac:dyDescent="0.3">
      <c r="A848" s="4" t="s">
        <v>2</v>
      </c>
      <c r="B848" s="5" t="s">
        <v>3</v>
      </c>
      <c r="C848" s="5" t="s">
        <v>0</v>
      </c>
      <c r="D848" s="5" t="s">
        <v>4</v>
      </c>
      <c r="E848" s="5" t="s">
        <v>5</v>
      </c>
      <c r="F848" s="6" t="s">
        <v>6</v>
      </c>
    </row>
    <row r="849" spans="1:6" x14ac:dyDescent="0.25">
      <c r="A849" s="7">
        <v>1</v>
      </c>
      <c r="B849" s="8">
        <v>2</v>
      </c>
      <c r="C849" s="8">
        <v>3</v>
      </c>
      <c r="D849" s="8">
        <v>4</v>
      </c>
      <c r="E849" s="8">
        <v>5</v>
      </c>
      <c r="F849" s="9">
        <v>6</v>
      </c>
    </row>
    <row r="850" spans="1:6" x14ac:dyDescent="0.25">
      <c r="A850" s="10" t="s">
        <v>1</v>
      </c>
      <c r="B850" s="11" t="s">
        <v>76</v>
      </c>
      <c r="C850" s="12"/>
      <c r="D850" s="12"/>
      <c r="E850" s="12"/>
      <c r="F850" s="13"/>
    </row>
    <row r="851" spans="1:6" x14ac:dyDescent="0.25">
      <c r="A851" s="14"/>
      <c r="B851" s="15" t="s">
        <v>40</v>
      </c>
      <c r="C851" s="16" t="s">
        <v>7</v>
      </c>
      <c r="D851" s="17">
        <v>0.2</v>
      </c>
      <c r="E851" s="18">
        <f>'HARGA BAHAN'!E4</f>
        <v>125000</v>
      </c>
      <c r="F851" s="19">
        <f>+D851*E851</f>
        <v>25000</v>
      </c>
    </row>
    <row r="852" spans="1:6" x14ac:dyDescent="0.25">
      <c r="A852" s="14"/>
      <c r="B852" s="20" t="s">
        <v>86</v>
      </c>
      <c r="C852" s="21" t="s">
        <v>7</v>
      </c>
      <c r="D852" s="22">
        <v>0.2</v>
      </c>
      <c r="E852" s="18">
        <f>'HARGA BAHAN'!E5</f>
        <v>160000</v>
      </c>
      <c r="F852" s="19">
        <f>+D852*E852</f>
        <v>32000</v>
      </c>
    </row>
    <row r="853" spans="1:6" x14ac:dyDescent="0.25">
      <c r="A853" s="14"/>
      <c r="B853" s="15" t="s">
        <v>87</v>
      </c>
      <c r="C853" s="16" t="s">
        <v>7</v>
      </c>
      <c r="D853" s="17">
        <v>0.02</v>
      </c>
      <c r="E853" s="18">
        <f>'HARGA BAHAN'!E6</f>
        <v>180000</v>
      </c>
      <c r="F853" s="19">
        <f>+D853*E853</f>
        <v>3600</v>
      </c>
    </row>
    <row r="854" spans="1:6" ht="14.4" thickBot="1" x14ac:dyDescent="0.3">
      <c r="A854" s="24"/>
      <c r="B854" s="25" t="s">
        <v>42</v>
      </c>
      <c r="C854" s="26" t="s">
        <v>7</v>
      </c>
      <c r="D854" s="27">
        <v>1E-3</v>
      </c>
      <c r="E854" s="18">
        <f>'HARGA BAHAN'!E7</f>
        <v>175000</v>
      </c>
      <c r="F854" s="19">
        <f>+D854*E854</f>
        <v>175</v>
      </c>
    </row>
    <row r="855" spans="1:6" ht="14.4" thickBot="1" x14ac:dyDescent="0.3">
      <c r="A855" s="28"/>
      <c r="B855" s="29"/>
      <c r="C855" s="30"/>
      <c r="D855" s="31" t="s">
        <v>8</v>
      </c>
      <c r="E855" s="32"/>
      <c r="F855" s="33">
        <f>SUM(F851:F854)</f>
        <v>60775</v>
      </c>
    </row>
    <row r="856" spans="1:6" x14ac:dyDescent="0.25">
      <c r="A856" s="34" t="s">
        <v>9</v>
      </c>
      <c r="B856" s="35" t="s">
        <v>77</v>
      </c>
      <c r="C856" s="36"/>
      <c r="D856" s="36"/>
      <c r="E856" s="36"/>
      <c r="F856" s="37"/>
    </row>
    <row r="857" spans="1:6" x14ac:dyDescent="0.25">
      <c r="A857" s="38"/>
      <c r="B857" s="39" t="s">
        <v>124</v>
      </c>
      <c r="C857" s="40" t="s">
        <v>19</v>
      </c>
      <c r="D857" s="41">
        <v>1.05</v>
      </c>
      <c r="E857" s="42">
        <f>'HARGA BAHAN'!E71</f>
        <v>140000</v>
      </c>
      <c r="F857" s="19">
        <f>+D857*E857</f>
        <v>147000</v>
      </c>
    </row>
    <row r="858" spans="1:6" x14ac:dyDescent="0.25">
      <c r="A858" s="63"/>
      <c r="B858" s="64" t="s">
        <v>125</v>
      </c>
      <c r="C858" s="65" t="s">
        <v>21</v>
      </c>
      <c r="D858" s="66">
        <v>1.4999999999999999E-2</v>
      </c>
      <c r="E858" s="67">
        <f>'HARGA BAHAN'!E28</f>
        <v>25500</v>
      </c>
      <c r="F858" s="19">
        <f>+D858*E858</f>
        <v>382.5</v>
      </c>
    </row>
    <row r="859" spans="1:6" ht="16.2" thickBot="1" x14ac:dyDescent="0.3">
      <c r="A859" s="79"/>
      <c r="B859" s="80" t="s">
        <v>126</v>
      </c>
      <c r="C859" s="81" t="s">
        <v>24</v>
      </c>
      <c r="D859" s="82">
        <v>1.9E-2</v>
      </c>
      <c r="E859" s="83">
        <f>'HARGA BAHAN'!E70</f>
        <v>5200000</v>
      </c>
      <c r="F859" s="19">
        <f>+D859*E859</f>
        <v>98800</v>
      </c>
    </row>
    <row r="860" spans="1:6" ht="14.4" thickBot="1" x14ac:dyDescent="0.3">
      <c r="A860" s="28"/>
      <c r="B860" s="44"/>
      <c r="C860" s="44"/>
      <c r="D860" s="45" t="s">
        <v>10</v>
      </c>
      <c r="E860" s="44"/>
      <c r="F860" s="33">
        <f>SUM(F857:F859)</f>
        <v>246182.5</v>
      </c>
    </row>
    <row r="861" spans="1:6" x14ac:dyDescent="0.25">
      <c r="A861" s="34" t="s">
        <v>11</v>
      </c>
      <c r="B861" s="35" t="s">
        <v>78</v>
      </c>
      <c r="C861" s="36"/>
      <c r="D861" s="36"/>
      <c r="E861" s="36"/>
      <c r="F861" s="37"/>
    </row>
    <row r="862" spans="1:6" ht="14.4" thickBot="1" x14ac:dyDescent="0.3">
      <c r="A862" s="46"/>
      <c r="B862" s="47"/>
      <c r="C862" s="48"/>
      <c r="D862" s="49"/>
      <c r="E862" s="50"/>
      <c r="F862" s="51"/>
    </row>
    <row r="863" spans="1:6" ht="14.4" thickBot="1" x14ac:dyDescent="0.3">
      <c r="A863" s="28"/>
      <c r="B863" s="29"/>
      <c r="C863" s="30"/>
      <c r="D863" s="31" t="s">
        <v>12</v>
      </c>
      <c r="E863" s="32"/>
      <c r="F863" s="33">
        <f>SUM(F862)</f>
        <v>0</v>
      </c>
    </row>
    <row r="864" spans="1:6" x14ac:dyDescent="0.25">
      <c r="A864" s="34" t="s">
        <v>13</v>
      </c>
      <c r="B864" s="35" t="s">
        <v>14</v>
      </c>
      <c r="C864" s="52"/>
      <c r="D864" s="52"/>
      <c r="E864" s="53"/>
      <c r="F864" s="54">
        <f>+F855+F860+F863</f>
        <v>306957.5</v>
      </c>
    </row>
    <row r="865" spans="1:9" x14ac:dyDescent="0.25">
      <c r="A865" s="10" t="s">
        <v>15</v>
      </c>
      <c r="B865" s="11" t="s">
        <v>51</v>
      </c>
      <c r="C865" s="55"/>
      <c r="D865" s="55"/>
      <c r="E865" s="56"/>
      <c r="F865" s="57">
        <f>F864*15%</f>
        <v>46043.625</v>
      </c>
    </row>
    <row r="866" spans="1:9" ht="14.4" thickBot="1" x14ac:dyDescent="0.3">
      <c r="A866" s="58" t="s">
        <v>16</v>
      </c>
      <c r="B866" s="59" t="s">
        <v>17</v>
      </c>
      <c r="C866" s="60"/>
      <c r="D866" s="60"/>
      <c r="E866" s="61"/>
      <c r="F866" s="62">
        <f>SUM(F864:F865)</f>
        <v>353001.125</v>
      </c>
    </row>
    <row r="868" spans="1:9" ht="14.4" thickBot="1" x14ac:dyDescent="0.3">
      <c r="A868" s="160" t="s">
        <v>354</v>
      </c>
      <c r="B868" s="161" t="s">
        <v>355</v>
      </c>
      <c r="C868" s="162"/>
      <c r="D868" s="162"/>
      <c r="E868" s="162"/>
      <c r="F868" s="162"/>
    </row>
    <row r="869" spans="1:9" ht="28.2" thickBot="1" x14ac:dyDescent="0.3">
      <c r="A869" s="163" t="s">
        <v>2</v>
      </c>
      <c r="B869" s="164" t="s">
        <v>3</v>
      </c>
      <c r="C869" s="164" t="s">
        <v>0</v>
      </c>
      <c r="D869" s="164" t="s">
        <v>4</v>
      </c>
      <c r="E869" s="164" t="s">
        <v>5</v>
      </c>
      <c r="F869" s="165" t="s">
        <v>6</v>
      </c>
    </row>
    <row r="870" spans="1:9" x14ac:dyDescent="0.25">
      <c r="A870" s="166">
        <v>1</v>
      </c>
      <c r="B870" s="167">
        <v>2</v>
      </c>
      <c r="C870" s="167">
        <v>3</v>
      </c>
      <c r="D870" s="167">
        <v>4</v>
      </c>
      <c r="E870" s="167">
        <v>5</v>
      </c>
      <c r="F870" s="168">
        <v>6</v>
      </c>
    </row>
    <row r="871" spans="1:9" x14ac:dyDescent="0.25">
      <c r="A871" s="169" t="s">
        <v>1</v>
      </c>
      <c r="B871" s="170" t="s">
        <v>76</v>
      </c>
      <c r="C871" s="171"/>
      <c r="D871" s="171"/>
      <c r="E871" s="171"/>
      <c r="F871" s="172"/>
    </row>
    <row r="872" spans="1:9" x14ac:dyDescent="0.25">
      <c r="A872" s="173"/>
      <c r="B872" s="174" t="s">
        <v>40</v>
      </c>
      <c r="C872" s="175" t="s">
        <v>7</v>
      </c>
      <c r="D872" s="176">
        <v>0.2</v>
      </c>
      <c r="E872" s="177">
        <f>'HARGA BAHAN'!E4</f>
        <v>125000</v>
      </c>
      <c r="F872" s="178">
        <f>+D872*E872</f>
        <v>25000</v>
      </c>
    </row>
    <row r="873" spans="1:9" x14ac:dyDescent="0.25">
      <c r="A873" s="173"/>
      <c r="B873" s="179" t="s">
        <v>86</v>
      </c>
      <c r="C873" s="180" t="s">
        <v>7</v>
      </c>
      <c r="D873" s="181">
        <v>0.2</v>
      </c>
      <c r="E873" s="177">
        <f>'HARGA BAHAN'!E5</f>
        <v>160000</v>
      </c>
      <c r="F873" s="178">
        <f>+D873*E873</f>
        <v>32000</v>
      </c>
    </row>
    <row r="874" spans="1:9" x14ac:dyDescent="0.25">
      <c r="A874" s="173"/>
      <c r="B874" s="174" t="s">
        <v>87</v>
      </c>
      <c r="C874" s="175" t="s">
        <v>7</v>
      </c>
      <c r="D874" s="176">
        <v>0.02</v>
      </c>
      <c r="E874" s="177">
        <f>'HARGA BAHAN'!E6</f>
        <v>180000</v>
      </c>
      <c r="F874" s="178">
        <f>+D874*E874</f>
        <v>3600</v>
      </c>
    </row>
    <row r="875" spans="1:9" ht="14.4" thickBot="1" x14ac:dyDescent="0.3">
      <c r="A875" s="182"/>
      <c r="B875" s="183" t="s">
        <v>42</v>
      </c>
      <c r="C875" s="184" t="s">
        <v>7</v>
      </c>
      <c r="D875" s="185">
        <v>1E-3</v>
      </c>
      <c r="E875" s="177">
        <f>'HARGA BAHAN'!E7</f>
        <v>175000</v>
      </c>
      <c r="F875" s="178">
        <f>+D875*E875</f>
        <v>175</v>
      </c>
    </row>
    <row r="876" spans="1:9" ht="14.4" thickBot="1" x14ac:dyDescent="0.3">
      <c r="A876" s="186"/>
      <c r="B876" s="187"/>
      <c r="C876" s="188"/>
      <c r="D876" s="189" t="s">
        <v>8</v>
      </c>
      <c r="E876" s="190"/>
      <c r="F876" s="191">
        <f>SUM(F872:F875)</f>
        <v>60775</v>
      </c>
    </row>
    <row r="877" spans="1:9" x14ac:dyDescent="0.25">
      <c r="A877" s="192" t="s">
        <v>9</v>
      </c>
      <c r="B877" s="193" t="s">
        <v>77</v>
      </c>
      <c r="C877" s="194"/>
      <c r="D877" s="194"/>
      <c r="E877" s="194"/>
      <c r="F877" s="195"/>
    </row>
    <row r="878" spans="1:9" x14ac:dyDescent="0.25">
      <c r="A878" s="196"/>
      <c r="B878" s="197" t="s">
        <v>356</v>
      </c>
      <c r="C878" s="198" t="s">
        <v>19</v>
      </c>
      <c r="D878" s="388">
        <v>0.38200000000000001</v>
      </c>
      <c r="E878" s="200">
        <f>'HARGA BAHAN'!E72</f>
        <v>891000</v>
      </c>
      <c r="F878" s="178">
        <f>+D878*E878</f>
        <v>340362</v>
      </c>
    </row>
    <row r="879" spans="1:9" x14ac:dyDescent="0.25">
      <c r="A879" s="389"/>
      <c r="B879" s="390" t="s">
        <v>125</v>
      </c>
      <c r="C879" s="391" t="s">
        <v>21</v>
      </c>
      <c r="D879" s="392">
        <v>1.4999999999999999E-2</v>
      </c>
      <c r="E879" s="393">
        <f>'HARGA BAHAN'!E28</f>
        <v>25500</v>
      </c>
      <c r="F879" s="178">
        <f>+D879*E879</f>
        <v>382.5</v>
      </c>
    </row>
    <row r="880" spans="1:9" ht="16.2" thickBot="1" x14ac:dyDescent="0.3">
      <c r="A880" s="378"/>
      <c r="B880" s="379" t="s">
        <v>126</v>
      </c>
      <c r="C880" s="380" t="s">
        <v>203</v>
      </c>
      <c r="D880" s="381">
        <v>1.9E-2</v>
      </c>
      <c r="E880" s="382">
        <f>'HARGA BAHAN'!E70</f>
        <v>5200000</v>
      </c>
      <c r="F880" s="178">
        <f>+D880*E880</f>
        <v>98800</v>
      </c>
      <c r="I880" s="1">
        <f>1.2*2.4</f>
        <v>2.88</v>
      </c>
    </row>
    <row r="881" spans="1:9" ht="14.4" thickBot="1" x14ac:dyDescent="0.3">
      <c r="A881" s="186"/>
      <c r="B881" s="205"/>
      <c r="C881" s="205"/>
      <c r="D881" s="206" t="s">
        <v>10</v>
      </c>
      <c r="E881" s="205"/>
      <c r="F881" s="191">
        <f>SUM(F878:F880)</f>
        <v>439544.5</v>
      </c>
      <c r="I881" s="1">
        <v>0.38200000000000001</v>
      </c>
    </row>
    <row r="882" spans="1:9" x14ac:dyDescent="0.25">
      <c r="A882" s="192" t="s">
        <v>11</v>
      </c>
      <c r="B882" s="193" t="s">
        <v>78</v>
      </c>
      <c r="C882" s="194"/>
      <c r="D882" s="194"/>
      <c r="E882" s="194"/>
      <c r="F882" s="195"/>
      <c r="I882" s="1">
        <f>I880*I881</f>
        <v>1.10016</v>
      </c>
    </row>
    <row r="883" spans="1:9" ht="14.4" thickBot="1" x14ac:dyDescent="0.3">
      <c r="A883" s="207"/>
      <c r="B883" s="208"/>
      <c r="C883" s="209"/>
      <c r="D883" s="210"/>
      <c r="E883" s="211"/>
      <c r="F883" s="212"/>
    </row>
    <row r="884" spans="1:9" ht="14.4" thickBot="1" x14ac:dyDescent="0.3">
      <c r="A884" s="186"/>
      <c r="B884" s="187"/>
      <c r="C884" s="188"/>
      <c r="D884" s="189" t="s">
        <v>12</v>
      </c>
      <c r="E884" s="190"/>
      <c r="F884" s="191">
        <f>SUM(F883)</f>
        <v>0</v>
      </c>
    </row>
    <row r="885" spans="1:9" x14ac:dyDescent="0.25">
      <c r="A885" s="192" t="s">
        <v>13</v>
      </c>
      <c r="B885" s="193" t="s">
        <v>14</v>
      </c>
      <c r="C885" s="213"/>
      <c r="D885" s="213"/>
      <c r="E885" s="214"/>
      <c r="F885" s="215">
        <f>+F876+F881+F884</f>
        <v>500319.5</v>
      </c>
    </row>
    <row r="886" spans="1:9" x14ac:dyDescent="0.25">
      <c r="A886" s="169" t="s">
        <v>15</v>
      </c>
      <c r="B886" s="170" t="s">
        <v>51</v>
      </c>
      <c r="C886" s="216"/>
      <c r="D886" s="216"/>
      <c r="E886" s="217"/>
      <c r="F886" s="218">
        <f>F885*15%</f>
        <v>75047.925000000003</v>
      </c>
    </row>
    <row r="887" spans="1:9" ht="14.4" thickBot="1" x14ac:dyDescent="0.3">
      <c r="A887" s="219" t="s">
        <v>16</v>
      </c>
      <c r="B887" s="220" t="s">
        <v>17</v>
      </c>
      <c r="C887" s="221"/>
      <c r="D887" s="221"/>
      <c r="E887" s="222"/>
      <c r="F887" s="223">
        <f>SUM(F885:F886)</f>
        <v>575367.42500000005</v>
      </c>
    </row>
    <row r="889" spans="1:9" ht="14.4" thickBot="1" x14ac:dyDescent="0.3">
      <c r="A889" s="71" t="s">
        <v>185</v>
      </c>
      <c r="B889" s="2" t="s">
        <v>186</v>
      </c>
      <c r="C889" s="3"/>
      <c r="D889" s="3"/>
      <c r="E889" s="3"/>
      <c r="F889" s="3"/>
    </row>
    <row r="890" spans="1:9" ht="28.2" thickBot="1" x14ac:dyDescent="0.3">
      <c r="A890" s="4" t="s">
        <v>2</v>
      </c>
      <c r="B890" s="5" t="s">
        <v>3</v>
      </c>
      <c r="C890" s="5" t="s">
        <v>0</v>
      </c>
      <c r="D890" s="5" t="s">
        <v>4</v>
      </c>
      <c r="E890" s="5" t="s">
        <v>5</v>
      </c>
      <c r="F890" s="6" t="s">
        <v>6</v>
      </c>
    </row>
    <row r="891" spans="1:9" x14ac:dyDescent="0.25">
      <c r="A891" s="7">
        <v>1</v>
      </c>
      <c r="B891" s="8">
        <v>2</v>
      </c>
      <c r="C891" s="8">
        <v>3</v>
      </c>
      <c r="D891" s="8">
        <v>4</v>
      </c>
      <c r="E891" s="8">
        <v>5</v>
      </c>
      <c r="F891" s="9">
        <v>6</v>
      </c>
    </row>
    <row r="892" spans="1:9" x14ac:dyDescent="0.25">
      <c r="A892" s="10" t="s">
        <v>1</v>
      </c>
      <c r="B892" s="11" t="s">
        <v>76</v>
      </c>
      <c r="C892" s="12"/>
      <c r="D892" s="12"/>
      <c r="E892" s="12"/>
      <c r="F892" s="13"/>
    </row>
    <row r="893" spans="1:9" x14ac:dyDescent="0.25">
      <c r="A893" s="14"/>
      <c r="B893" s="15" t="s">
        <v>40</v>
      </c>
      <c r="C893" s="16" t="s">
        <v>7</v>
      </c>
      <c r="D893" s="17">
        <v>0.15</v>
      </c>
      <c r="E893" s="18">
        <f>'HARGA BAHAN'!E4</f>
        <v>125000</v>
      </c>
      <c r="F893" s="19">
        <f>+D893*E893</f>
        <v>18750</v>
      </c>
    </row>
    <row r="894" spans="1:9" x14ac:dyDescent="0.25">
      <c r="A894" s="14"/>
      <c r="B894" s="20" t="s">
        <v>86</v>
      </c>
      <c r="C894" s="21" t="s">
        <v>7</v>
      </c>
      <c r="D894" s="22">
        <v>0.25</v>
      </c>
      <c r="E894" s="18">
        <f>'HARGA BAHAN'!E5</f>
        <v>160000</v>
      </c>
      <c r="F894" s="19">
        <f>+D894*E894</f>
        <v>40000</v>
      </c>
    </row>
    <row r="895" spans="1:9" x14ac:dyDescent="0.25">
      <c r="A895" s="14"/>
      <c r="B895" s="15" t="s">
        <v>87</v>
      </c>
      <c r="C895" s="16" t="s">
        <v>7</v>
      </c>
      <c r="D895" s="17">
        <v>2.5000000000000001E-2</v>
      </c>
      <c r="E895" s="18">
        <f>'HARGA BAHAN'!E6</f>
        <v>180000</v>
      </c>
      <c r="F895" s="19">
        <f>+D895*E895</f>
        <v>4500</v>
      </c>
    </row>
    <row r="896" spans="1:9" ht="14.4" thickBot="1" x14ac:dyDescent="0.3">
      <c r="A896" s="24"/>
      <c r="B896" s="25" t="s">
        <v>42</v>
      </c>
      <c r="C896" s="26" t="s">
        <v>7</v>
      </c>
      <c r="D896" s="27">
        <v>7.4999999999999997E-2</v>
      </c>
      <c r="E896" s="18">
        <f>'HARGA BAHAN'!E7</f>
        <v>175000</v>
      </c>
      <c r="F896" s="19">
        <f>+D896*E896</f>
        <v>13125</v>
      </c>
    </row>
    <row r="897" spans="1:6" ht="14.4" thickBot="1" x14ac:dyDescent="0.3">
      <c r="A897" s="28"/>
      <c r="B897" s="29"/>
      <c r="C897" s="30"/>
      <c r="D897" s="31" t="s">
        <v>8</v>
      </c>
      <c r="E897" s="32"/>
      <c r="F897" s="33">
        <f>SUM(F893:F896)</f>
        <v>76375</v>
      </c>
    </row>
    <row r="898" spans="1:6" x14ac:dyDescent="0.25">
      <c r="A898" s="34" t="s">
        <v>9</v>
      </c>
      <c r="B898" s="35" t="s">
        <v>77</v>
      </c>
      <c r="C898" s="36"/>
      <c r="D898" s="36"/>
      <c r="E898" s="36"/>
      <c r="F898" s="37"/>
    </row>
    <row r="899" spans="1:6" x14ac:dyDescent="0.25">
      <c r="A899" s="38"/>
      <c r="B899" s="39" t="s">
        <v>129</v>
      </c>
      <c r="C899" s="40" t="s">
        <v>181</v>
      </c>
      <c r="D899" s="41">
        <v>1</v>
      </c>
      <c r="E899" s="42">
        <f>'HARGA BAHAN'!E75</f>
        <v>179914.34999999998</v>
      </c>
      <c r="F899" s="19">
        <f>+D899*E899</f>
        <v>179914.34999999998</v>
      </c>
    </row>
    <row r="900" spans="1:6" ht="14.4" thickBot="1" x14ac:dyDescent="0.3">
      <c r="A900" s="63"/>
      <c r="B900" s="64" t="s">
        <v>187</v>
      </c>
      <c r="C900" s="65" t="s">
        <v>188</v>
      </c>
      <c r="D900" s="66">
        <v>18</v>
      </c>
      <c r="E900" s="67">
        <f>'HARGA BAHAN'!E79</f>
        <v>550</v>
      </c>
      <c r="F900" s="19">
        <f>+D900*E900</f>
        <v>9900</v>
      </c>
    </row>
    <row r="901" spans="1:6" ht="14.4" thickBot="1" x14ac:dyDescent="0.3">
      <c r="A901" s="28"/>
      <c r="B901" s="44"/>
      <c r="C901" s="44"/>
      <c r="D901" s="45" t="s">
        <v>10</v>
      </c>
      <c r="E901" s="44"/>
      <c r="F901" s="33">
        <f>SUM(F899:F900)</f>
        <v>189814.34999999998</v>
      </c>
    </row>
    <row r="902" spans="1:6" x14ac:dyDescent="0.25">
      <c r="A902" s="34" t="s">
        <v>11</v>
      </c>
      <c r="B902" s="35" t="s">
        <v>78</v>
      </c>
      <c r="C902" s="36"/>
      <c r="D902" s="36"/>
      <c r="E902" s="36"/>
      <c r="F902" s="37"/>
    </row>
    <row r="903" spans="1:6" ht="14.4" thickBot="1" x14ac:dyDescent="0.3">
      <c r="A903" s="46"/>
      <c r="B903" s="47"/>
      <c r="C903" s="48"/>
      <c r="D903" s="49"/>
      <c r="E903" s="50"/>
      <c r="F903" s="51"/>
    </row>
    <row r="904" spans="1:6" ht="14.4" thickBot="1" x14ac:dyDescent="0.3">
      <c r="A904" s="28"/>
      <c r="B904" s="29"/>
      <c r="C904" s="30"/>
      <c r="D904" s="31" t="s">
        <v>12</v>
      </c>
      <c r="E904" s="32"/>
      <c r="F904" s="33">
        <f>SUM(F903)</f>
        <v>0</v>
      </c>
    </row>
    <row r="905" spans="1:6" x14ac:dyDescent="0.25">
      <c r="A905" s="34" t="s">
        <v>13</v>
      </c>
      <c r="B905" s="35" t="s">
        <v>14</v>
      </c>
      <c r="C905" s="52"/>
      <c r="D905" s="52"/>
      <c r="E905" s="53"/>
      <c r="F905" s="54">
        <f>+F897+F901+F904</f>
        <v>266189.34999999998</v>
      </c>
    </row>
    <row r="906" spans="1:6" x14ac:dyDescent="0.25">
      <c r="A906" s="10" t="s">
        <v>15</v>
      </c>
      <c r="B906" s="11" t="s">
        <v>51</v>
      </c>
      <c r="C906" s="55"/>
      <c r="D906" s="55"/>
      <c r="E906" s="56"/>
      <c r="F906" s="57">
        <f>F905*15%</f>
        <v>39928.402499999997</v>
      </c>
    </row>
    <row r="907" spans="1:6" ht="14.4" thickBot="1" x14ac:dyDescent="0.3">
      <c r="A907" s="58" t="s">
        <v>16</v>
      </c>
      <c r="B907" s="59" t="s">
        <v>17</v>
      </c>
      <c r="C907" s="60"/>
      <c r="D907" s="60"/>
      <c r="E907" s="61"/>
      <c r="F907" s="62">
        <f>SUM(F905:F906)</f>
        <v>306117.75249999994</v>
      </c>
    </row>
    <row r="909" spans="1:6" ht="14.4" thickBot="1" x14ac:dyDescent="0.3">
      <c r="A909" s="71" t="s">
        <v>192</v>
      </c>
      <c r="B909" s="2" t="s">
        <v>193</v>
      </c>
      <c r="C909" s="3"/>
      <c r="D909" s="3"/>
      <c r="E909" s="3"/>
      <c r="F909" s="3"/>
    </row>
    <row r="910" spans="1:6" ht="28.2" thickBot="1" x14ac:dyDescent="0.3">
      <c r="A910" s="4" t="s">
        <v>2</v>
      </c>
      <c r="B910" s="5" t="s">
        <v>3</v>
      </c>
      <c r="C910" s="5" t="s">
        <v>0</v>
      </c>
      <c r="D910" s="5" t="s">
        <v>4</v>
      </c>
      <c r="E910" s="5" t="s">
        <v>5</v>
      </c>
      <c r="F910" s="6" t="s">
        <v>6</v>
      </c>
    </row>
    <row r="911" spans="1:6" x14ac:dyDescent="0.25">
      <c r="A911" s="7">
        <v>1</v>
      </c>
      <c r="B911" s="8">
        <v>2</v>
      </c>
      <c r="C911" s="8">
        <v>3</v>
      </c>
      <c r="D911" s="8">
        <v>4</v>
      </c>
      <c r="E911" s="8">
        <v>5</v>
      </c>
      <c r="F911" s="9">
        <v>6</v>
      </c>
    </row>
    <row r="912" spans="1:6" x14ac:dyDescent="0.25">
      <c r="A912" s="10" t="s">
        <v>1</v>
      </c>
      <c r="B912" s="11" t="s">
        <v>76</v>
      </c>
      <c r="C912" s="12"/>
      <c r="D912" s="12"/>
      <c r="E912" s="12"/>
      <c r="F912" s="13"/>
    </row>
    <row r="913" spans="1:6" x14ac:dyDescent="0.25">
      <c r="A913" s="14"/>
      <c r="B913" s="15" t="s">
        <v>40</v>
      </c>
      <c r="C913" s="16" t="s">
        <v>7</v>
      </c>
      <c r="D913" s="17">
        <v>0.1</v>
      </c>
      <c r="E913" s="18">
        <f>'HARGA BAHAN'!E4</f>
        <v>125000</v>
      </c>
      <c r="F913" s="19">
        <f>+D913*E913</f>
        <v>12500</v>
      </c>
    </row>
    <row r="914" spans="1:6" x14ac:dyDescent="0.25">
      <c r="A914" s="14"/>
      <c r="B914" s="20" t="s">
        <v>86</v>
      </c>
      <c r="C914" s="21" t="s">
        <v>7</v>
      </c>
      <c r="D914" s="22">
        <v>0.05</v>
      </c>
      <c r="E914" s="18">
        <f>'HARGA BAHAN'!E5</f>
        <v>160000</v>
      </c>
      <c r="F914" s="19">
        <f>+D914*E914</f>
        <v>8000</v>
      </c>
    </row>
    <row r="915" spans="1:6" x14ac:dyDescent="0.25">
      <c r="A915" s="14"/>
      <c r="B915" s="15" t="s">
        <v>87</v>
      </c>
      <c r="C915" s="16" t="s">
        <v>7</v>
      </c>
      <c r="D915" s="17">
        <v>5.0000000000000001E-3</v>
      </c>
      <c r="E915" s="18">
        <f>'HARGA BAHAN'!E6</f>
        <v>180000</v>
      </c>
      <c r="F915" s="19">
        <f>+D915*E915</f>
        <v>900</v>
      </c>
    </row>
    <row r="916" spans="1:6" ht="14.4" thickBot="1" x14ac:dyDescent="0.3">
      <c r="A916" s="24"/>
      <c r="B916" s="25" t="s">
        <v>42</v>
      </c>
      <c r="C916" s="26" t="s">
        <v>7</v>
      </c>
      <c r="D916" s="27">
        <v>5.0000000000000001E-3</v>
      </c>
      <c r="E916" s="18">
        <f>'HARGA BAHAN'!E7</f>
        <v>175000</v>
      </c>
      <c r="F916" s="19">
        <f>+D916*E916</f>
        <v>875</v>
      </c>
    </row>
    <row r="917" spans="1:6" ht="14.4" thickBot="1" x14ac:dyDescent="0.3">
      <c r="A917" s="28"/>
      <c r="B917" s="29"/>
      <c r="C917" s="30"/>
      <c r="D917" s="31" t="s">
        <v>8</v>
      </c>
      <c r="E917" s="32"/>
      <c r="F917" s="33">
        <f>SUM(F913:F916)</f>
        <v>22275</v>
      </c>
    </row>
    <row r="918" spans="1:6" x14ac:dyDescent="0.25">
      <c r="A918" s="34" t="s">
        <v>9</v>
      </c>
      <c r="B918" s="35" t="s">
        <v>77</v>
      </c>
      <c r="C918" s="36"/>
      <c r="D918" s="36"/>
      <c r="E918" s="36"/>
      <c r="F918" s="37"/>
    </row>
    <row r="919" spans="1:6" x14ac:dyDescent="0.25">
      <c r="A919" s="38"/>
      <c r="B919" s="39" t="s">
        <v>194</v>
      </c>
      <c r="C919" s="40" t="s">
        <v>157</v>
      </c>
      <c r="D919" s="41">
        <v>1</v>
      </c>
      <c r="E919" s="42">
        <f>'HARGA BAHAN'!E76</f>
        <v>50367</v>
      </c>
      <c r="F919" s="19">
        <f>+D919*E919</f>
        <v>50367</v>
      </c>
    </row>
    <row r="920" spans="1:6" ht="14.4" thickBot="1" x14ac:dyDescent="0.3">
      <c r="A920" s="63"/>
      <c r="B920" s="64" t="s">
        <v>195</v>
      </c>
      <c r="C920" s="65" t="s">
        <v>188</v>
      </c>
      <c r="D920" s="66">
        <v>18</v>
      </c>
      <c r="E920" s="67">
        <f>'HARGA BAHAN'!E79</f>
        <v>550</v>
      </c>
      <c r="F920" s="19">
        <f>+D920*E920</f>
        <v>9900</v>
      </c>
    </row>
    <row r="921" spans="1:6" ht="14.4" thickBot="1" x14ac:dyDescent="0.3">
      <c r="A921" s="28"/>
      <c r="B921" s="44"/>
      <c r="C921" s="44"/>
      <c r="D921" s="45" t="s">
        <v>10</v>
      </c>
      <c r="E921" s="44"/>
      <c r="F921" s="33">
        <f>SUM(F919:F920)</f>
        <v>60267</v>
      </c>
    </row>
    <row r="922" spans="1:6" x14ac:dyDescent="0.25">
      <c r="A922" s="34" t="s">
        <v>11</v>
      </c>
      <c r="B922" s="35" t="s">
        <v>78</v>
      </c>
      <c r="C922" s="36"/>
      <c r="D922" s="36"/>
      <c r="E922" s="36"/>
      <c r="F922" s="37"/>
    </row>
    <row r="923" spans="1:6" ht="14.4" thickBot="1" x14ac:dyDescent="0.3">
      <c r="A923" s="46"/>
      <c r="B923" s="47"/>
      <c r="C923" s="48"/>
      <c r="D923" s="49"/>
      <c r="E923" s="50"/>
      <c r="F923" s="51"/>
    </row>
    <row r="924" spans="1:6" ht="14.4" thickBot="1" x14ac:dyDescent="0.3">
      <c r="A924" s="28"/>
      <c r="B924" s="29"/>
      <c r="C924" s="30"/>
      <c r="D924" s="31" t="s">
        <v>12</v>
      </c>
      <c r="E924" s="32"/>
      <c r="F924" s="33">
        <f>SUM(F923)</f>
        <v>0</v>
      </c>
    </row>
    <row r="925" spans="1:6" x14ac:dyDescent="0.25">
      <c r="A925" s="34" t="s">
        <v>13</v>
      </c>
      <c r="B925" s="35" t="s">
        <v>14</v>
      </c>
      <c r="C925" s="52"/>
      <c r="D925" s="52"/>
      <c r="E925" s="53"/>
      <c r="F925" s="54">
        <f>+F917+F921+F924</f>
        <v>82542</v>
      </c>
    </row>
    <row r="926" spans="1:6" x14ac:dyDescent="0.25">
      <c r="A926" s="10" t="s">
        <v>15</v>
      </c>
      <c r="B926" s="11" t="s">
        <v>51</v>
      </c>
      <c r="C926" s="55"/>
      <c r="D926" s="55"/>
      <c r="E926" s="56"/>
      <c r="F926" s="57">
        <f>F925*15%</f>
        <v>12381.3</v>
      </c>
    </row>
    <row r="927" spans="1:6" ht="14.4" thickBot="1" x14ac:dyDescent="0.3">
      <c r="A927" s="58" t="s">
        <v>16</v>
      </c>
      <c r="B927" s="59" t="s">
        <v>17</v>
      </c>
      <c r="C927" s="60"/>
      <c r="D927" s="60"/>
      <c r="E927" s="61"/>
      <c r="F927" s="62">
        <f>SUM(F925:F926)</f>
        <v>94923.3</v>
      </c>
    </row>
    <row r="929" spans="1:6" ht="14.4" thickBot="1" x14ac:dyDescent="0.3">
      <c r="A929" s="160" t="s">
        <v>557</v>
      </c>
      <c r="B929" s="161" t="s">
        <v>558</v>
      </c>
      <c r="C929" s="162"/>
      <c r="D929" s="162"/>
      <c r="E929" s="162"/>
      <c r="F929" s="162"/>
    </row>
    <row r="930" spans="1:6" ht="28.2" thickBot="1" x14ac:dyDescent="0.3">
      <c r="A930" s="163" t="s">
        <v>2</v>
      </c>
      <c r="B930" s="164" t="s">
        <v>3</v>
      </c>
      <c r="C930" s="164" t="s">
        <v>0</v>
      </c>
      <c r="D930" s="164" t="s">
        <v>4</v>
      </c>
      <c r="E930" s="164" t="s">
        <v>5</v>
      </c>
      <c r="F930" s="165" t="s">
        <v>6</v>
      </c>
    </row>
    <row r="931" spans="1:6" x14ac:dyDescent="0.25">
      <c r="A931" s="166">
        <v>1</v>
      </c>
      <c r="B931" s="167">
        <v>2</v>
      </c>
      <c r="C931" s="167">
        <v>3</v>
      </c>
      <c r="D931" s="167">
        <v>4</v>
      </c>
      <c r="E931" s="167">
        <v>5</v>
      </c>
      <c r="F931" s="168">
        <v>6</v>
      </c>
    </row>
    <row r="932" spans="1:6" x14ac:dyDescent="0.25">
      <c r="A932" s="169" t="s">
        <v>1</v>
      </c>
      <c r="B932" s="170" t="s">
        <v>76</v>
      </c>
      <c r="C932" s="171"/>
      <c r="D932" s="171"/>
      <c r="E932" s="171"/>
      <c r="F932" s="172"/>
    </row>
    <row r="933" spans="1:6" x14ac:dyDescent="0.25">
      <c r="A933" s="173"/>
      <c r="B933" s="174" t="s">
        <v>40</v>
      </c>
      <c r="C933" s="175" t="s">
        <v>7</v>
      </c>
      <c r="D933" s="176">
        <v>0.1</v>
      </c>
      <c r="E933" s="177">
        <f>'HARGA BAHAN'!E4</f>
        <v>125000</v>
      </c>
      <c r="F933" s="178">
        <f>+D933*E933</f>
        <v>12500</v>
      </c>
    </row>
    <row r="934" spans="1:6" x14ac:dyDescent="0.25">
      <c r="A934" s="173"/>
      <c r="B934" s="179" t="s">
        <v>86</v>
      </c>
      <c r="C934" s="180" t="s">
        <v>7</v>
      </c>
      <c r="D934" s="181">
        <v>0.05</v>
      </c>
      <c r="E934" s="177">
        <f>'HARGA BAHAN'!E5</f>
        <v>160000</v>
      </c>
      <c r="F934" s="178">
        <f>+D934*E934</f>
        <v>8000</v>
      </c>
    </row>
    <row r="935" spans="1:6" x14ac:dyDescent="0.25">
      <c r="A935" s="173"/>
      <c r="B935" s="174" t="s">
        <v>87</v>
      </c>
      <c r="C935" s="175" t="s">
        <v>7</v>
      </c>
      <c r="D935" s="176">
        <v>5.0000000000000001E-3</v>
      </c>
      <c r="E935" s="177">
        <f>'HARGA BAHAN'!E6</f>
        <v>180000</v>
      </c>
      <c r="F935" s="178">
        <f>+D935*E935</f>
        <v>900</v>
      </c>
    </row>
    <row r="936" spans="1:6" ht="14.4" thickBot="1" x14ac:dyDescent="0.3">
      <c r="A936" s="182"/>
      <c r="B936" s="183" t="s">
        <v>42</v>
      </c>
      <c r="C936" s="184" t="s">
        <v>7</v>
      </c>
      <c r="D936" s="185">
        <v>5.0000000000000001E-3</v>
      </c>
      <c r="E936" s="177">
        <f>'HARGA BAHAN'!E7</f>
        <v>175000</v>
      </c>
      <c r="F936" s="178">
        <f>+D936*E936</f>
        <v>875</v>
      </c>
    </row>
    <row r="937" spans="1:6" ht="14.4" thickBot="1" x14ac:dyDescent="0.3">
      <c r="A937" s="186"/>
      <c r="B937" s="187"/>
      <c r="C937" s="188"/>
      <c r="D937" s="189" t="s">
        <v>8</v>
      </c>
      <c r="E937" s="190"/>
      <c r="F937" s="191">
        <f>SUM(F933:F936)</f>
        <v>22275</v>
      </c>
    </row>
    <row r="938" spans="1:6" x14ac:dyDescent="0.25">
      <c r="A938" s="192" t="s">
        <v>9</v>
      </c>
      <c r="B938" s="193" t="s">
        <v>77</v>
      </c>
      <c r="C938" s="194"/>
      <c r="D938" s="194"/>
      <c r="E938" s="194"/>
      <c r="F938" s="195"/>
    </row>
    <row r="939" spans="1:6" x14ac:dyDescent="0.25">
      <c r="A939" s="196"/>
      <c r="B939" s="197" t="s">
        <v>559</v>
      </c>
      <c r="C939" s="198" t="s">
        <v>157</v>
      </c>
      <c r="D939" s="388">
        <v>1</v>
      </c>
      <c r="E939" s="200">
        <f>'HARGA BAHAN'!E59</f>
        <v>25000</v>
      </c>
      <c r="F939" s="178">
        <f>+D939*E939</f>
        <v>25000</v>
      </c>
    </row>
    <row r="940" spans="1:6" ht="14.4" thickBot="1" x14ac:dyDescent="0.3">
      <c r="A940" s="389"/>
      <c r="B940" s="390" t="s">
        <v>195</v>
      </c>
      <c r="C940" s="391" t="s">
        <v>188</v>
      </c>
      <c r="D940" s="392">
        <v>18</v>
      </c>
      <c r="E940" s="393">
        <f>'HARGA BAHAN'!E79</f>
        <v>550</v>
      </c>
      <c r="F940" s="178">
        <f>+D940*E940</f>
        <v>9900</v>
      </c>
    </row>
    <row r="941" spans="1:6" ht="14.4" thickBot="1" x14ac:dyDescent="0.3">
      <c r="A941" s="186"/>
      <c r="B941" s="205"/>
      <c r="C941" s="205"/>
      <c r="D941" s="206" t="s">
        <v>10</v>
      </c>
      <c r="E941" s="205"/>
      <c r="F941" s="191">
        <f>SUM(F939:F940)</f>
        <v>34900</v>
      </c>
    </row>
    <row r="942" spans="1:6" x14ac:dyDescent="0.25">
      <c r="A942" s="192" t="s">
        <v>11</v>
      </c>
      <c r="B942" s="193" t="s">
        <v>78</v>
      </c>
      <c r="C942" s="194"/>
      <c r="D942" s="194"/>
      <c r="E942" s="194"/>
      <c r="F942" s="195"/>
    </row>
    <row r="943" spans="1:6" ht="14.4" thickBot="1" x14ac:dyDescent="0.3">
      <c r="A943" s="207"/>
      <c r="B943" s="208"/>
      <c r="C943" s="209"/>
      <c r="D943" s="210"/>
      <c r="E943" s="211"/>
      <c r="F943" s="212"/>
    </row>
    <row r="944" spans="1:6" ht="14.4" thickBot="1" x14ac:dyDescent="0.3">
      <c r="A944" s="186"/>
      <c r="B944" s="187"/>
      <c r="C944" s="188"/>
      <c r="D944" s="189" t="s">
        <v>12</v>
      </c>
      <c r="E944" s="190"/>
      <c r="F944" s="191">
        <f>SUM(F943)</f>
        <v>0</v>
      </c>
    </row>
    <row r="945" spans="1:6" x14ac:dyDescent="0.25">
      <c r="A945" s="192" t="s">
        <v>13</v>
      </c>
      <c r="B945" s="193" t="s">
        <v>14</v>
      </c>
      <c r="C945" s="213"/>
      <c r="D945" s="213"/>
      <c r="E945" s="214"/>
      <c r="F945" s="215">
        <f>+F937+F941+F944</f>
        <v>57175</v>
      </c>
    </row>
    <row r="946" spans="1:6" x14ac:dyDescent="0.25">
      <c r="A946" s="169" t="s">
        <v>15</v>
      </c>
      <c r="B946" s="170" t="s">
        <v>51</v>
      </c>
      <c r="C946" s="216"/>
      <c r="D946" s="216"/>
      <c r="E946" s="217"/>
      <c r="F946" s="218">
        <f>F945*15%</f>
        <v>8576.25</v>
      </c>
    </row>
    <row r="947" spans="1:6" ht="14.4" thickBot="1" x14ac:dyDescent="0.3">
      <c r="A947" s="219" t="s">
        <v>16</v>
      </c>
      <c r="B947" s="220" t="s">
        <v>17</v>
      </c>
      <c r="C947" s="221"/>
      <c r="D947" s="221"/>
      <c r="E947" s="222"/>
      <c r="F947" s="223">
        <f>SUM(F945:F946)</f>
        <v>65751.25</v>
      </c>
    </row>
    <row r="949" spans="1:6" ht="14.4" thickBot="1" x14ac:dyDescent="0.3">
      <c r="A949" s="160" t="s">
        <v>579</v>
      </c>
      <c r="B949" s="161" t="s">
        <v>580</v>
      </c>
      <c r="C949" s="162"/>
      <c r="D949" s="162"/>
      <c r="E949" s="162"/>
      <c r="F949" s="162"/>
    </row>
    <row r="950" spans="1:6" ht="28.2" thickBot="1" x14ac:dyDescent="0.3">
      <c r="A950" s="163" t="s">
        <v>2</v>
      </c>
      <c r="B950" s="164" t="s">
        <v>3</v>
      </c>
      <c r="C950" s="164" t="s">
        <v>0</v>
      </c>
      <c r="D950" s="164" t="s">
        <v>4</v>
      </c>
      <c r="E950" s="164" t="s">
        <v>5</v>
      </c>
      <c r="F950" s="165" t="s">
        <v>6</v>
      </c>
    </row>
    <row r="951" spans="1:6" x14ac:dyDescent="0.25">
      <c r="A951" s="166">
        <v>1</v>
      </c>
      <c r="B951" s="167">
        <v>2</v>
      </c>
      <c r="C951" s="167">
        <v>3</v>
      </c>
      <c r="D951" s="167">
        <v>4</v>
      </c>
      <c r="E951" s="167">
        <v>5</v>
      </c>
      <c r="F951" s="168">
        <v>6</v>
      </c>
    </row>
    <row r="952" spans="1:6" x14ac:dyDescent="0.25">
      <c r="A952" s="169" t="s">
        <v>1</v>
      </c>
      <c r="B952" s="170" t="s">
        <v>76</v>
      </c>
      <c r="C952" s="171"/>
      <c r="D952" s="171"/>
      <c r="E952" s="171"/>
      <c r="F952" s="172"/>
    </row>
    <row r="953" spans="1:6" x14ac:dyDescent="0.25">
      <c r="A953" s="173"/>
      <c r="B953" s="174" t="s">
        <v>40</v>
      </c>
      <c r="C953" s="175" t="s">
        <v>7</v>
      </c>
      <c r="D953" s="176">
        <v>0.05</v>
      </c>
      <c r="E953" s="177">
        <f>'HARGA BAHAN'!E4</f>
        <v>125000</v>
      </c>
      <c r="F953" s="178">
        <f>+D953*E953</f>
        <v>6250</v>
      </c>
    </row>
    <row r="954" spans="1:6" x14ac:dyDescent="0.25">
      <c r="A954" s="173"/>
      <c r="B954" s="179" t="s">
        <v>86</v>
      </c>
      <c r="C954" s="180" t="s">
        <v>7</v>
      </c>
      <c r="D954" s="181">
        <v>0.05</v>
      </c>
      <c r="E954" s="177">
        <f>'HARGA BAHAN'!E5</f>
        <v>160000</v>
      </c>
      <c r="F954" s="178">
        <f>+D954*E954</f>
        <v>8000</v>
      </c>
    </row>
    <row r="955" spans="1:6" x14ac:dyDescent="0.25">
      <c r="A955" s="173"/>
      <c r="B955" s="174" t="s">
        <v>87</v>
      </c>
      <c r="C955" s="175" t="s">
        <v>7</v>
      </c>
      <c r="D955" s="176">
        <v>5.0000000000000001E-3</v>
      </c>
      <c r="E955" s="177">
        <f>'HARGA BAHAN'!E6</f>
        <v>180000</v>
      </c>
      <c r="F955" s="178">
        <f>+D955*E955</f>
        <v>900</v>
      </c>
    </row>
    <row r="956" spans="1:6" ht="14.4" thickBot="1" x14ac:dyDescent="0.3">
      <c r="A956" s="182"/>
      <c r="B956" s="183" t="s">
        <v>42</v>
      </c>
      <c r="C956" s="184" t="s">
        <v>7</v>
      </c>
      <c r="D956" s="185">
        <v>5.0000000000000001E-3</v>
      </c>
      <c r="E956" s="177">
        <f>'HARGA BAHAN'!E7</f>
        <v>175000</v>
      </c>
      <c r="F956" s="178">
        <f>+D956*E956</f>
        <v>875</v>
      </c>
    </row>
    <row r="957" spans="1:6" ht="14.4" thickBot="1" x14ac:dyDescent="0.3">
      <c r="A957" s="186"/>
      <c r="B957" s="187"/>
      <c r="C957" s="188"/>
      <c r="D957" s="189" t="s">
        <v>8</v>
      </c>
      <c r="E957" s="190"/>
      <c r="F957" s="191">
        <f>SUM(F953:F956)</f>
        <v>16025</v>
      </c>
    </row>
    <row r="958" spans="1:6" x14ac:dyDescent="0.25">
      <c r="A958" s="192" t="s">
        <v>9</v>
      </c>
      <c r="B958" s="193" t="s">
        <v>77</v>
      </c>
      <c r="C958" s="194"/>
      <c r="D958" s="194"/>
      <c r="E958" s="194"/>
      <c r="F958" s="195"/>
    </row>
    <row r="959" spans="1:6" ht="14.4" thickBot="1" x14ac:dyDescent="0.3">
      <c r="A959" s="389"/>
      <c r="B959" s="390" t="s">
        <v>195</v>
      </c>
      <c r="C959" s="391" t="s">
        <v>188</v>
      </c>
      <c r="D959" s="392">
        <v>5.22</v>
      </c>
      <c r="E959" s="393">
        <f>'HARGA BAHAN'!E79</f>
        <v>550</v>
      </c>
      <c r="F959" s="178">
        <f>+D959*E959</f>
        <v>2871</v>
      </c>
    </row>
    <row r="960" spans="1:6" ht="14.4" thickBot="1" x14ac:dyDescent="0.3">
      <c r="A960" s="186"/>
      <c r="B960" s="205"/>
      <c r="C960" s="205"/>
      <c r="D960" s="206" t="s">
        <v>10</v>
      </c>
      <c r="E960" s="205"/>
      <c r="F960" s="191">
        <f>SUM(F959:F959)</f>
        <v>2871</v>
      </c>
    </row>
    <row r="961" spans="1:6" x14ac:dyDescent="0.25">
      <c r="A961" s="192" t="s">
        <v>11</v>
      </c>
      <c r="B961" s="193" t="s">
        <v>78</v>
      </c>
      <c r="C961" s="194"/>
      <c r="D961" s="194"/>
      <c r="E961" s="194"/>
      <c r="F961" s="195"/>
    </row>
    <row r="962" spans="1:6" ht="14.4" thickBot="1" x14ac:dyDescent="0.3">
      <c r="A962" s="207"/>
      <c r="B962" s="208"/>
      <c r="C962" s="209"/>
      <c r="D962" s="210"/>
      <c r="E962" s="211"/>
      <c r="F962" s="212"/>
    </row>
    <row r="963" spans="1:6" ht="14.4" thickBot="1" x14ac:dyDescent="0.3">
      <c r="A963" s="186"/>
      <c r="B963" s="187"/>
      <c r="C963" s="188"/>
      <c r="D963" s="189" t="s">
        <v>12</v>
      </c>
      <c r="E963" s="190"/>
      <c r="F963" s="191">
        <f>SUM(F962)</f>
        <v>0</v>
      </c>
    </row>
    <row r="964" spans="1:6" x14ac:dyDescent="0.25">
      <c r="A964" s="192" t="s">
        <v>13</v>
      </c>
      <c r="B964" s="193" t="s">
        <v>14</v>
      </c>
      <c r="C964" s="213"/>
      <c r="D964" s="213"/>
      <c r="E964" s="214"/>
      <c r="F964" s="215">
        <f>+F957+F960+F963</f>
        <v>18896</v>
      </c>
    </row>
    <row r="965" spans="1:6" x14ac:dyDescent="0.25">
      <c r="A965" s="169" t="s">
        <v>15</v>
      </c>
      <c r="B965" s="170" t="s">
        <v>51</v>
      </c>
      <c r="C965" s="216"/>
      <c r="D965" s="216"/>
      <c r="E965" s="217"/>
      <c r="F965" s="218">
        <f>F964*15%</f>
        <v>2834.4</v>
      </c>
    </row>
    <row r="966" spans="1:6" ht="14.4" thickBot="1" x14ac:dyDescent="0.3">
      <c r="A966" s="219" t="s">
        <v>16</v>
      </c>
      <c r="B966" s="220" t="s">
        <v>17</v>
      </c>
      <c r="C966" s="221"/>
      <c r="D966" s="221"/>
      <c r="E966" s="222"/>
      <c r="F966" s="223">
        <f>SUM(F964:F965)</f>
        <v>21730.400000000001</v>
      </c>
    </row>
    <row r="968" spans="1:6" ht="16.2" thickBot="1" x14ac:dyDescent="0.3">
      <c r="A968" s="71" t="s">
        <v>128</v>
      </c>
      <c r="B968" s="2" t="s">
        <v>131</v>
      </c>
      <c r="C968" s="3"/>
      <c r="D968" s="3"/>
      <c r="E968" s="3"/>
      <c r="F968" s="3"/>
    </row>
    <row r="969" spans="1:6" ht="28.2" thickBot="1" x14ac:dyDescent="0.3">
      <c r="A969" s="4" t="s">
        <v>2</v>
      </c>
      <c r="B969" s="5" t="s">
        <v>3</v>
      </c>
      <c r="C969" s="5" t="s">
        <v>0</v>
      </c>
      <c r="D969" s="5" t="s">
        <v>4</v>
      </c>
      <c r="E969" s="5" t="s">
        <v>5</v>
      </c>
      <c r="F969" s="6" t="s">
        <v>6</v>
      </c>
    </row>
    <row r="970" spans="1:6" x14ac:dyDescent="0.25">
      <c r="A970" s="7">
        <v>1</v>
      </c>
      <c r="B970" s="8">
        <v>2</v>
      </c>
      <c r="C970" s="8">
        <v>3</v>
      </c>
      <c r="D970" s="8">
        <v>4</v>
      </c>
      <c r="E970" s="8">
        <v>5</v>
      </c>
      <c r="F970" s="9">
        <v>6</v>
      </c>
    </row>
    <row r="971" spans="1:6" x14ac:dyDescent="0.25">
      <c r="A971" s="10" t="s">
        <v>1</v>
      </c>
      <c r="B971" s="11" t="s">
        <v>76</v>
      </c>
      <c r="C971" s="12"/>
      <c r="D971" s="12"/>
      <c r="E971" s="12"/>
      <c r="F971" s="13"/>
    </row>
    <row r="972" spans="1:6" x14ac:dyDescent="0.25">
      <c r="A972" s="14"/>
      <c r="B972" s="15" t="s">
        <v>40</v>
      </c>
      <c r="C972" s="16" t="s">
        <v>7</v>
      </c>
      <c r="D972" s="17">
        <v>0.08</v>
      </c>
      <c r="E972" s="18">
        <f>'HARGA BAHAN'!E4</f>
        <v>125000</v>
      </c>
      <c r="F972" s="19">
        <f>+D972*E972</f>
        <v>10000</v>
      </c>
    </row>
    <row r="973" spans="1:6" x14ac:dyDescent="0.25">
      <c r="A973" s="14"/>
      <c r="B973" s="20" t="s">
        <v>86</v>
      </c>
      <c r="C973" s="21" t="s">
        <v>7</v>
      </c>
      <c r="D973" s="22">
        <v>0.8</v>
      </c>
      <c r="E973" s="18">
        <f>'HARGA BAHAN'!E5</f>
        <v>160000</v>
      </c>
      <c r="F973" s="19">
        <f>+D973*E973</f>
        <v>128000</v>
      </c>
    </row>
    <row r="974" spans="1:6" x14ac:dyDescent="0.25">
      <c r="A974" s="14"/>
      <c r="B974" s="15" t="s">
        <v>87</v>
      </c>
      <c r="C974" s="16" t="s">
        <v>7</v>
      </c>
      <c r="D974" s="17">
        <v>0.08</v>
      </c>
      <c r="E974" s="18">
        <f>'HARGA BAHAN'!E6</f>
        <v>180000</v>
      </c>
      <c r="F974" s="19">
        <f>+D974*E974</f>
        <v>14400</v>
      </c>
    </row>
    <row r="975" spans="1:6" ht="14.4" thickBot="1" x14ac:dyDescent="0.3">
      <c r="A975" s="24"/>
      <c r="B975" s="25" t="s">
        <v>42</v>
      </c>
      <c r="C975" s="26" t="s">
        <v>7</v>
      </c>
      <c r="D975" s="27">
        <v>4.0000000000000001E-3</v>
      </c>
      <c r="E975" s="18">
        <f>'HARGA BAHAN'!E7</f>
        <v>175000</v>
      </c>
      <c r="F975" s="19">
        <f>+D975*E975</f>
        <v>700</v>
      </c>
    </row>
    <row r="976" spans="1:6" ht="14.4" thickBot="1" x14ac:dyDescent="0.3">
      <c r="A976" s="28"/>
      <c r="B976" s="29"/>
      <c r="C976" s="30"/>
      <c r="D976" s="31" t="s">
        <v>8</v>
      </c>
      <c r="E976" s="32"/>
      <c r="F976" s="33">
        <f>SUM(F972:F975)</f>
        <v>153100</v>
      </c>
    </row>
    <row r="977" spans="1:6" x14ac:dyDescent="0.25">
      <c r="A977" s="34" t="s">
        <v>9</v>
      </c>
      <c r="B977" s="35" t="s">
        <v>77</v>
      </c>
      <c r="C977" s="36"/>
      <c r="D977" s="36"/>
      <c r="E977" s="36"/>
      <c r="F977" s="37"/>
    </row>
    <row r="978" spans="1:6" ht="16.2" thickBot="1" x14ac:dyDescent="0.3">
      <c r="A978" s="38"/>
      <c r="B978" s="39" t="s">
        <v>132</v>
      </c>
      <c r="C978" s="40" t="s">
        <v>36</v>
      </c>
      <c r="D978" s="41">
        <v>1</v>
      </c>
      <c r="E978" s="42">
        <f>'HARGA BAHAN'!E86</f>
        <v>260416.66666666669</v>
      </c>
      <c r="F978" s="19">
        <f>+D978*E978</f>
        <v>260416.66666666669</v>
      </c>
    </row>
    <row r="979" spans="1:6" ht="14.4" thickBot="1" x14ac:dyDescent="0.3">
      <c r="A979" s="28"/>
      <c r="B979" s="44"/>
      <c r="C979" s="44"/>
      <c r="D979" s="45" t="s">
        <v>10</v>
      </c>
      <c r="E979" s="44"/>
      <c r="F979" s="33">
        <f>SUM(F978:F978)</f>
        <v>260416.66666666669</v>
      </c>
    </row>
    <row r="980" spans="1:6" x14ac:dyDescent="0.25">
      <c r="A980" s="34" t="s">
        <v>11</v>
      </c>
      <c r="B980" s="35" t="s">
        <v>78</v>
      </c>
      <c r="C980" s="36"/>
      <c r="D980" s="36"/>
      <c r="E980" s="36"/>
      <c r="F980" s="37"/>
    </row>
    <row r="981" spans="1:6" ht="14.4" thickBot="1" x14ac:dyDescent="0.3">
      <c r="A981" s="46"/>
      <c r="B981" s="47"/>
      <c r="C981" s="48"/>
      <c r="D981" s="49"/>
      <c r="E981" s="50"/>
      <c r="F981" s="51"/>
    </row>
    <row r="982" spans="1:6" ht="14.4" thickBot="1" x14ac:dyDescent="0.3">
      <c r="A982" s="28"/>
      <c r="B982" s="29"/>
      <c r="C982" s="30"/>
      <c r="D982" s="31" t="s">
        <v>12</v>
      </c>
      <c r="E982" s="32"/>
      <c r="F982" s="33">
        <f>SUM(F981)</f>
        <v>0</v>
      </c>
    </row>
    <row r="983" spans="1:6" x14ac:dyDescent="0.25">
      <c r="A983" s="34" t="s">
        <v>13</v>
      </c>
      <c r="B983" s="35" t="s">
        <v>14</v>
      </c>
      <c r="C983" s="52"/>
      <c r="D983" s="52"/>
      <c r="E983" s="53"/>
      <c r="F983" s="54">
        <f>+F976+F979+F982</f>
        <v>413516.66666666669</v>
      </c>
    </row>
    <row r="984" spans="1:6" x14ac:dyDescent="0.25">
      <c r="A984" s="10" t="s">
        <v>15</v>
      </c>
      <c r="B984" s="11" t="s">
        <v>51</v>
      </c>
      <c r="C984" s="55"/>
      <c r="D984" s="55"/>
      <c r="E984" s="56"/>
      <c r="F984" s="57">
        <f>F983*15%</f>
        <v>62027.5</v>
      </c>
    </row>
    <row r="985" spans="1:6" ht="14.4" thickBot="1" x14ac:dyDescent="0.3">
      <c r="A985" s="58" t="s">
        <v>16</v>
      </c>
      <c r="B985" s="59" t="s">
        <v>17</v>
      </c>
      <c r="C985" s="60"/>
      <c r="D985" s="60"/>
      <c r="E985" s="61"/>
      <c r="F985" s="62">
        <f>SUM(F983:F984)</f>
        <v>475544.16666666669</v>
      </c>
    </row>
    <row r="987" spans="1:6" ht="16.2" thickBot="1" x14ac:dyDescent="0.3">
      <c r="A987" s="224" t="s">
        <v>133</v>
      </c>
      <c r="B987" s="225" t="s">
        <v>204</v>
      </c>
      <c r="C987" s="226"/>
      <c r="D987" s="226"/>
      <c r="E987" s="226"/>
      <c r="F987" s="226"/>
    </row>
    <row r="988" spans="1:6" ht="28.2" thickBot="1" x14ac:dyDescent="0.3">
      <c r="A988" s="227" t="s">
        <v>2</v>
      </c>
      <c r="B988" s="228" t="s">
        <v>3</v>
      </c>
      <c r="C988" s="228" t="s">
        <v>0</v>
      </c>
      <c r="D988" s="228" t="s">
        <v>4</v>
      </c>
      <c r="E988" s="228" t="s">
        <v>5</v>
      </c>
      <c r="F988" s="229" t="s">
        <v>6</v>
      </c>
    </row>
    <row r="989" spans="1:6" x14ac:dyDescent="0.25">
      <c r="A989" s="230">
        <v>1</v>
      </c>
      <c r="B989" s="231">
        <v>2</v>
      </c>
      <c r="C989" s="231">
        <v>3</v>
      </c>
      <c r="D989" s="231">
        <v>4</v>
      </c>
      <c r="E989" s="231">
        <v>5</v>
      </c>
      <c r="F989" s="232">
        <v>6</v>
      </c>
    </row>
    <row r="990" spans="1:6" x14ac:dyDescent="0.25">
      <c r="A990" s="233" t="s">
        <v>1</v>
      </c>
      <c r="B990" s="234" t="s">
        <v>76</v>
      </c>
      <c r="C990" s="235"/>
      <c r="D990" s="235"/>
      <c r="E990" s="235"/>
      <c r="F990" s="236"/>
    </row>
    <row r="991" spans="1:6" x14ac:dyDescent="0.25">
      <c r="A991" s="237"/>
      <c r="B991" s="238" t="s">
        <v>40</v>
      </c>
      <c r="C991" s="239" t="s">
        <v>7</v>
      </c>
      <c r="D991" s="240">
        <v>0.26</v>
      </c>
      <c r="E991" s="241">
        <f>'HARGA BAHAN'!E4</f>
        <v>125000</v>
      </c>
      <c r="F991" s="242">
        <f>+D991*E991</f>
        <v>32500</v>
      </c>
    </row>
    <row r="992" spans="1:6" x14ac:dyDescent="0.25">
      <c r="A992" s="237"/>
      <c r="B992" s="243" t="s">
        <v>86</v>
      </c>
      <c r="C992" s="244" t="s">
        <v>7</v>
      </c>
      <c r="D992" s="245">
        <v>0.13</v>
      </c>
      <c r="E992" s="241">
        <f>'HARGA BAHAN'!E5</f>
        <v>160000</v>
      </c>
      <c r="F992" s="242">
        <f>+D992*E992</f>
        <v>20800</v>
      </c>
    </row>
    <row r="993" spans="1:6" x14ac:dyDescent="0.25">
      <c r="A993" s="237"/>
      <c r="B993" s="238" t="s">
        <v>87</v>
      </c>
      <c r="C993" s="239" t="s">
        <v>7</v>
      </c>
      <c r="D993" s="240">
        <v>1.2999999999999999E-2</v>
      </c>
      <c r="E993" s="241">
        <f>'HARGA BAHAN'!E6</f>
        <v>180000</v>
      </c>
      <c r="F993" s="242">
        <f>+D993*E993</f>
        <v>2340</v>
      </c>
    </row>
    <row r="994" spans="1:6" ht="14.4" thickBot="1" x14ac:dyDescent="0.3">
      <c r="A994" s="246"/>
      <c r="B994" s="247" t="s">
        <v>42</v>
      </c>
      <c r="C994" s="248" t="s">
        <v>7</v>
      </c>
      <c r="D994" s="249">
        <v>1.2999999999999999E-2</v>
      </c>
      <c r="E994" s="241">
        <f>'HARGA BAHAN'!E7</f>
        <v>175000</v>
      </c>
      <c r="F994" s="242">
        <f>+D994*E994</f>
        <v>2275</v>
      </c>
    </row>
    <row r="995" spans="1:6" ht="14.4" thickBot="1" x14ac:dyDescent="0.3">
      <c r="A995" s="250"/>
      <c r="B995" s="251"/>
      <c r="C995" s="252"/>
      <c r="D995" s="253" t="s">
        <v>8</v>
      </c>
      <c r="E995" s="254"/>
      <c r="F995" s="255">
        <f>SUM(F991:F994)</f>
        <v>57915</v>
      </c>
    </row>
    <row r="996" spans="1:6" x14ac:dyDescent="0.25">
      <c r="A996" s="256" t="s">
        <v>9</v>
      </c>
      <c r="B996" s="257" t="s">
        <v>77</v>
      </c>
      <c r="C996" s="258"/>
      <c r="D996" s="258"/>
      <c r="E996" s="258"/>
      <c r="F996" s="259"/>
    </row>
    <row r="997" spans="1:6" x14ac:dyDescent="0.25">
      <c r="A997" s="260"/>
      <c r="B997" s="261" t="s">
        <v>134</v>
      </c>
      <c r="C997" s="262" t="s">
        <v>45</v>
      </c>
      <c r="D997" s="263">
        <v>11.87</v>
      </c>
      <c r="E997" s="264">
        <f>'HARGA BAHAN'!E84</f>
        <v>14518.181818181818</v>
      </c>
      <c r="F997" s="242">
        <f>+D997*E997</f>
        <v>172330.81818181818</v>
      </c>
    </row>
    <row r="998" spans="1:6" x14ac:dyDescent="0.25">
      <c r="A998" s="265"/>
      <c r="B998" s="266" t="s">
        <v>85</v>
      </c>
      <c r="C998" s="267" t="s">
        <v>21</v>
      </c>
      <c r="D998" s="268">
        <v>10</v>
      </c>
      <c r="E998" s="269">
        <f>'HARGA BAHAN'!E13</f>
        <v>2000</v>
      </c>
      <c r="F998" s="242">
        <f>+D998*E998</f>
        <v>20000</v>
      </c>
    </row>
    <row r="999" spans="1:6" x14ac:dyDescent="0.25">
      <c r="A999" s="265"/>
      <c r="B999" s="266" t="s">
        <v>118</v>
      </c>
      <c r="C999" s="267" t="s">
        <v>21</v>
      </c>
      <c r="D999" s="268">
        <v>1.5</v>
      </c>
      <c r="E999" s="269">
        <f>'HARGA BAHAN'!E45</f>
        <v>6438.0000000000009</v>
      </c>
      <c r="F999" s="242">
        <f>+D999*E999</f>
        <v>9657.0000000000018</v>
      </c>
    </row>
    <row r="1000" spans="1:6" ht="16.2" thickBot="1" x14ac:dyDescent="0.3">
      <c r="A1000" s="270"/>
      <c r="B1000" s="271" t="s">
        <v>106</v>
      </c>
      <c r="C1000" s="272" t="s">
        <v>205</v>
      </c>
      <c r="D1000" s="273">
        <v>4.4999999999999998E-2</v>
      </c>
      <c r="E1000" s="274">
        <f>'HARGA BAHAN'!E15</f>
        <v>210000</v>
      </c>
      <c r="F1000" s="242">
        <f>+D1000*E1000</f>
        <v>9450</v>
      </c>
    </row>
    <row r="1001" spans="1:6" ht="14.4" thickBot="1" x14ac:dyDescent="0.3">
      <c r="A1001" s="250"/>
      <c r="B1001" s="275"/>
      <c r="C1001" s="275"/>
      <c r="D1001" s="276" t="s">
        <v>10</v>
      </c>
      <c r="E1001" s="275"/>
      <c r="F1001" s="255">
        <f>SUM(F997:F1000)</f>
        <v>211437.81818181818</v>
      </c>
    </row>
    <row r="1002" spans="1:6" x14ac:dyDescent="0.25">
      <c r="A1002" s="256" t="s">
        <v>11</v>
      </c>
      <c r="B1002" s="257" t="s">
        <v>78</v>
      </c>
      <c r="C1002" s="258"/>
      <c r="D1002" s="258"/>
      <c r="E1002" s="258"/>
      <c r="F1002" s="259"/>
    </row>
    <row r="1003" spans="1:6" ht="14.4" thickBot="1" x14ac:dyDescent="0.3">
      <c r="A1003" s="277"/>
      <c r="B1003" s="278"/>
      <c r="C1003" s="279"/>
      <c r="D1003" s="280"/>
      <c r="E1003" s="281"/>
      <c r="F1003" s="282"/>
    </row>
    <row r="1004" spans="1:6" ht="14.4" thickBot="1" x14ac:dyDescent="0.3">
      <c r="A1004" s="250"/>
      <c r="B1004" s="251"/>
      <c r="C1004" s="252"/>
      <c r="D1004" s="253" t="s">
        <v>12</v>
      </c>
      <c r="E1004" s="254"/>
      <c r="F1004" s="255">
        <f>SUM(F1003)</f>
        <v>0</v>
      </c>
    </row>
    <row r="1005" spans="1:6" x14ac:dyDescent="0.25">
      <c r="A1005" s="256" t="s">
        <v>13</v>
      </c>
      <c r="B1005" s="257" t="s">
        <v>14</v>
      </c>
      <c r="C1005" s="283"/>
      <c r="D1005" s="283"/>
      <c r="E1005" s="284"/>
      <c r="F1005" s="285">
        <f>+F995+F1001+F1004</f>
        <v>269352.81818181818</v>
      </c>
    </row>
    <row r="1006" spans="1:6" x14ac:dyDescent="0.25">
      <c r="A1006" s="233" t="s">
        <v>15</v>
      </c>
      <c r="B1006" s="234" t="s">
        <v>51</v>
      </c>
      <c r="C1006" s="286"/>
      <c r="D1006" s="286"/>
      <c r="E1006" s="287"/>
      <c r="F1006" s="288">
        <f>F1005*15%</f>
        <v>40402.922727272722</v>
      </c>
    </row>
    <row r="1007" spans="1:6" ht="14.4" thickBot="1" x14ac:dyDescent="0.3">
      <c r="A1007" s="289" t="s">
        <v>16</v>
      </c>
      <c r="B1007" s="290" t="s">
        <v>17</v>
      </c>
      <c r="C1007" s="291"/>
      <c r="D1007" s="291"/>
      <c r="E1007" s="292"/>
      <c r="F1007" s="293">
        <f>SUM(F1005:F1006)</f>
        <v>309755.74090909091</v>
      </c>
    </row>
    <row r="1008" spans="1:6" x14ac:dyDescent="0.25">
      <c r="A1008" s="294"/>
      <c r="B1008" s="225"/>
      <c r="C1008" s="225"/>
      <c r="D1008" s="225"/>
      <c r="E1008" s="225"/>
      <c r="F1008" s="295"/>
    </row>
    <row r="1009" spans="1:6" ht="16.2" thickBot="1" x14ac:dyDescent="0.3">
      <c r="A1009" s="296" t="s">
        <v>215</v>
      </c>
      <c r="B1009" s="297" t="s">
        <v>208</v>
      </c>
      <c r="C1009" s="298"/>
      <c r="D1009" s="298"/>
      <c r="E1009" s="298"/>
      <c r="F1009" s="298"/>
    </row>
    <row r="1010" spans="1:6" ht="28.2" thickBot="1" x14ac:dyDescent="0.3">
      <c r="A1010" s="299" t="s">
        <v>2</v>
      </c>
      <c r="B1010" s="300" t="s">
        <v>3</v>
      </c>
      <c r="C1010" s="300" t="s">
        <v>0</v>
      </c>
      <c r="D1010" s="300" t="s">
        <v>4</v>
      </c>
      <c r="E1010" s="300" t="s">
        <v>5</v>
      </c>
      <c r="F1010" s="301" t="s">
        <v>6</v>
      </c>
    </row>
    <row r="1011" spans="1:6" x14ac:dyDescent="0.25">
      <c r="A1011" s="302">
        <v>1</v>
      </c>
      <c r="B1011" s="303">
        <v>2</v>
      </c>
      <c r="C1011" s="303">
        <v>3</v>
      </c>
      <c r="D1011" s="303">
        <v>4</v>
      </c>
      <c r="E1011" s="303">
        <v>5</v>
      </c>
      <c r="F1011" s="304">
        <v>6</v>
      </c>
    </row>
    <row r="1012" spans="1:6" x14ac:dyDescent="0.25">
      <c r="A1012" s="305" t="s">
        <v>1</v>
      </c>
      <c r="B1012" s="306" t="s">
        <v>76</v>
      </c>
      <c r="C1012" s="307"/>
      <c r="D1012" s="307"/>
      <c r="E1012" s="307"/>
      <c r="F1012" s="308"/>
    </row>
    <row r="1013" spans="1:6" x14ac:dyDescent="0.25">
      <c r="A1013" s="309"/>
      <c r="B1013" s="310" t="s">
        <v>40</v>
      </c>
      <c r="C1013" s="311" t="s">
        <v>7</v>
      </c>
      <c r="D1013" s="312">
        <v>0.26</v>
      </c>
      <c r="E1013" s="313">
        <f>'HARGA BAHAN'!E4</f>
        <v>125000</v>
      </c>
      <c r="F1013" s="314">
        <f>+D1013*E1013</f>
        <v>32500</v>
      </c>
    </row>
    <row r="1014" spans="1:6" x14ac:dyDescent="0.25">
      <c r="A1014" s="309"/>
      <c r="B1014" s="315" t="s">
        <v>86</v>
      </c>
      <c r="C1014" s="316" t="s">
        <v>7</v>
      </c>
      <c r="D1014" s="317">
        <v>0.13</v>
      </c>
      <c r="E1014" s="313">
        <f>'HARGA BAHAN'!E5</f>
        <v>160000</v>
      </c>
      <c r="F1014" s="314">
        <f>+D1014*E1014</f>
        <v>20800</v>
      </c>
    </row>
    <row r="1015" spans="1:6" x14ac:dyDescent="0.25">
      <c r="A1015" s="309"/>
      <c r="B1015" s="310" t="s">
        <v>87</v>
      </c>
      <c r="C1015" s="311" t="s">
        <v>7</v>
      </c>
      <c r="D1015" s="312">
        <v>1.2999999999999999E-2</v>
      </c>
      <c r="E1015" s="313">
        <f>'HARGA BAHAN'!E6</f>
        <v>180000</v>
      </c>
      <c r="F1015" s="314">
        <f>+D1015*E1015</f>
        <v>2340</v>
      </c>
    </row>
    <row r="1016" spans="1:6" ht="14.4" thickBot="1" x14ac:dyDescent="0.3">
      <c r="A1016" s="318"/>
      <c r="B1016" s="319" t="s">
        <v>42</v>
      </c>
      <c r="C1016" s="320" t="s">
        <v>7</v>
      </c>
      <c r="D1016" s="321">
        <v>1.2999999999999999E-2</v>
      </c>
      <c r="E1016" s="313">
        <f>'HARGA BAHAN'!E7</f>
        <v>175000</v>
      </c>
      <c r="F1016" s="314">
        <f>+D1016*E1016</f>
        <v>2275</v>
      </c>
    </row>
    <row r="1017" spans="1:6" ht="14.4" thickBot="1" x14ac:dyDescent="0.3">
      <c r="A1017" s="322"/>
      <c r="B1017" s="323"/>
      <c r="C1017" s="324"/>
      <c r="D1017" s="325" t="s">
        <v>8</v>
      </c>
      <c r="E1017" s="326"/>
      <c r="F1017" s="327">
        <f>SUM(F1013:F1016)</f>
        <v>57915</v>
      </c>
    </row>
    <row r="1018" spans="1:6" x14ac:dyDescent="0.25">
      <c r="A1018" s="328" t="s">
        <v>9</v>
      </c>
      <c r="B1018" s="329" t="s">
        <v>77</v>
      </c>
      <c r="C1018" s="330"/>
      <c r="D1018" s="330"/>
      <c r="E1018" s="330"/>
      <c r="F1018" s="331"/>
    </row>
    <row r="1019" spans="1:6" x14ac:dyDescent="0.25">
      <c r="A1019" s="332"/>
      <c r="B1019" s="333" t="s">
        <v>209</v>
      </c>
      <c r="C1019" s="334" t="s">
        <v>159</v>
      </c>
      <c r="D1019" s="335">
        <v>6.63</v>
      </c>
      <c r="E1019" s="336">
        <f>'HARGA BAHAN'!E85</f>
        <v>24565.5</v>
      </c>
      <c r="F1019" s="314">
        <f>+D1019*E1019</f>
        <v>162869.26499999998</v>
      </c>
    </row>
    <row r="1020" spans="1:6" x14ac:dyDescent="0.25">
      <c r="A1020" s="337"/>
      <c r="B1020" s="338" t="s">
        <v>210</v>
      </c>
      <c r="C1020" s="339" t="s">
        <v>213</v>
      </c>
      <c r="D1020" s="340">
        <v>9.8000000000000007</v>
      </c>
      <c r="E1020" s="341">
        <f>'HARGA BAHAN'!E13</f>
        <v>2000</v>
      </c>
      <c r="F1020" s="314">
        <f>+D1020*E1020</f>
        <v>19600</v>
      </c>
    </row>
    <row r="1021" spans="1:6" x14ac:dyDescent="0.25">
      <c r="A1021" s="337"/>
      <c r="B1021" s="338" t="s">
        <v>211</v>
      </c>
      <c r="C1021" s="339" t="s">
        <v>214</v>
      </c>
      <c r="D1021" s="340">
        <v>4.4999999999999998E-2</v>
      </c>
      <c r="E1021" s="341">
        <f>'HARGA BAHAN'!E15</f>
        <v>210000</v>
      </c>
      <c r="F1021" s="314">
        <f>+D1021*E1021</f>
        <v>9450</v>
      </c>
    </row>
    <row r="1022" spans="1:6" ht="14.4" thickBot="1" x14ac:dyDescent="0.3">
      <c r="A1022" s="342"/>
      <c r="B1022" s="343" t="s">
        <v>212</v>
      </c>
      <c r="C1022" s="344" t="s">
        <v>213</v>
      </c>
      <c r="D1022" s="345">
        <v>1.3</v>
      </c>
      <c r="E1022" s="346">
        <f>'HARGA BAHAN'!E45</f>
        <v>6438.0000000000009</v>
      </c>
      <c r="F1022" s="314">
        <f>+D1022*E1022</f>
        <v>8369.4000000000015</v>
      </c>
    </row>
    <row r="1023" spans="1:6" ht="14.4" thickBot="1" x14ac:dyDescent="0.3">
      <c r="A1023" s="322"/>
      <c r="B1023" s="347"/>
      <c r="C1023" s="347"/>
      <c r="D1023" s="348" t="s">
        <v>10</v>
      </c>
      <c r="E1023" s="347"/>
      <c r="F1023" s="327">
        <f>SUM(F1019:F1022)</f>
        <v>200288.66499999998</v>
      </c>
    </row>
    <row r="1024" spans="1:6" x14ac:dyDescent="0.25">
      <c r="A1024" s="328" t="s">
        <v>11</v>
      </c>
      <c r="B1024" s="329" t="s">
        <v>78</v>
      </c>
      <c r="C1024" s="330"/>
      <c r="D1024" s="330"/>
      <c r="E1024" s="330"/>
      <c r="F1024" s="331"/>
    </row>
    <row r="1025" spans="1:9" ht="14.4" thickBot="1" x14ac:dyDescent="0.3">
      <c r="A1025" s="349"/>
      <c r="B1025" s="350"/>
      <c r="C1025" s="351"/>
      <c r="D1025" s="352"/>
      <c r="E1025" s="353"/>
      <c r="F1025" s="354"/>
    </row>
    <row r="1026" spans="1:9" ht="14.4" thickBot="1" x14ac:dyDescent="0.3">
      <c r="A1026" s="322"/>
      <c r="B1026" s="323"/>
      <c r="C1026" s="324"/>
      <c r="D1026" s="325" t="s">
        <v>12</v>
      </c>
      <c r="E1026" s="326"/>
      <c r="F1026" s="327">
        <f>SUM(F1025)</f>
        <v>0</v>
      </c>
    </row>
    <row r="1027" spans="1:9" x14ac:dyDescent="0.25">
      <c r="A1027" s="328" t="s">
        <v>13</v>
      </c>
      <c r="B1027" s="329" t="s">
        <v>14</v>
      </c>
      <c r="C1027" s="355"/>
      <c r="D1027" s="355"/>
      <c r="E1027" s="356"/>
      <c r="F1027" s="357">
        <f>+F1017+F1023+F1026</f>
        <v>258203.66499999998</v>
      </c>
    </row>
    <row r="1028" spans="1:9" x14ac:dyDescent="0.25">
      <c r="A1028" s="305" t="s">
        <v>15</v>
      </c>
      <c r="B1028" s="306" t="s">
        <v>51</v>
      </c>
      <c r="C1028" s="358"/>
      <c r="D1028" s="358"/>
      <c r="E1028" s="359"/>
      <c r="F1028" s="360">
        <f>F1027*15%</f>
        <v>38730.549749999998</v>
      </c>
    </row>
    <row r="1029" spans="1:9" ht="14.4" thickBot="1" x14ac:dyDescent="0.3">
      <c r="A1029" s="361" t="s">
        <v>16</v>
      </c>
      <c r="B1029" s="362" t="s">
        <v>17</v>
      </c>
      <c r="C1029" s="363"/>
      <c r="D1029" s="363"/>
      <c r="E1029" s="364"/>
      <c r="F1029" s="365">
        <f>SUM(F1027:F1028)</f>
        <v>296934.21474999998</v>
      </c>
    </row>
    <row r="1030" spans="1:9" x14ac:dyDescent="0.25">
      <c r="A1030" s="294"/>
      <c r="B1030" s="225"/>
      <c r="C1030" s="225"/>
      <c r="D1030" s="225"/>
      <c r="E1030" s="225"/>
      <c r="F1030" s="295"/>
    </row>
    <row r="1031" spans="1:9" ht="16.2" thickBot="1" x14ac:dyDescent="0.3">
      <c r="A1031" s="160" t="s">
        <v>234</v>
      </c>
      <c r="B1031" s="161" t="s">
        <v>235</v>
      </c>
      <c r="C1031" s="162"/>
      <c r="D1031" s="162"/>
      <c r="E1031" s="162"/>
      <c r="F1031" s="162"/>
    </row>
    <row r="1032" spans="1:9" ht="28.2" thickBot="1" x14ac:dyDescent="0.3">
      <c r="A1032" s="163" t="s">
        <v>2</v>
      </c>
      <c r="B1032" s="164" t="s">
        <v>3</v>
      </c>
      <c r="C1032" s="164" t="s">
        <v>0</v>
      </c>
      <c r="D1032" s="164" t="s">
        <v>4</v>
      </c>
      <c r="E1032" s="164" t="s">
        <v>5</v>
      </c>
      <c r="F1032" s="165" t="s">
        <v>6</v>
      </c>
    </row>
    <row r="1033" spans="1:9" x14ac:dyDescent="0.25">
      <c r="A1033" s="166">
        <v>1</v>
      </c>
      <c r="B1033" s="167">
        <v>2</v>
      </c>
      <c r="C1033" s="167">
        <v>3</v>
      </c>
      <c r="D1033" s="167">
        <v>4</v>
      </c>
      <c r="E1033" s="167">
        <v>5</v>
      </c>
      <c r="F1033" s="168">
        <v>6</v>
      </c>
    </row>
    <row r="1034" spans="1:9" x14ac:dyDescent="0.25">
      <c r="A1034" s="169" t="s">
        <v>1</v>
      </c>
      <c r="B1034" s="170" t="s">
        <v>76</v>
      </c>
      <c r="C1034" s="171"/>
      <c r="D1034" s="171"/>
      <c r="E1034" s="171"/>
      <c r="F1034" s="172"/>
    </row>
    <row r="1035" spans="1:9" x14ac:dyDescent="0.25">
      <c r="A1035" s="173"/>
      <c r="B1035" s="174" t="s">
        <v>40</v>
      </c>
      <c r="C1035" s="175" t="s">
        <v>7</v>
      </c>
      <c r="D1035" s="176">
        <v>0.26</v>
      </c>
      <c r="E1035" s="177">
        <f>'HARGA BAHAN'!E4</f>
        <v>125000</v>
      </c>
      <c r="F1035" s="178">
        <f>+D1035*E1035</f>
        <v>32500</v>
      </c>
    </row>
    <row r="1036" spans="1:9" x14ac:dyDescent="0.25">
      <c r="A1036" s="173"/>
      <c r="B1036" s="179" t="s">
        <v>86</v>
      </c>
      <c r="C1036" s="180" t="s">
        <v>7</v>
      </c>
      <c r="D1036" s="181">
        <v>0.13</v>
      </c>
      <c r="E1036" s="177">
        <f>'HARGA BAHAN'!E5</f>
        <v>160000</v>
      </c>
      <c r="F1036" s="178">
        <f>+D1036*E1036</f>
        <v>20800</v>
      </c>
      <c r="I1036" s="1">
        <f>0.6*0.6</f>
        <v>0.36</v>
      </c>
    </row>
    <row r="1037" spans="1:9" x14ac:dyDescent="0.25">
      <c r="A1037" s="173"/>
      <c r="B1037" s="174" t="s">
        <v>87</v>
      </c>
      <c r="C1037" s="175" t="s">
        <v>7</v>
      </c>
      <c r="D1037" s="176">
        <v>1.2999999999999999E-2</v>
      </c>
      <c r="E1037" s="177">
        <f>'HARGA BAHAN'!E6</f>
        <v>180000</v>
      </c>
      <c r="F1037" s="178">
        <f>+D1037*E1037</f>
        <v>2340</v>
      </c>
      <c r="I1037" s="1">
        <f>I1036*2.8</f>
        <v>1.008</v>
      </c>
    </row>
    <row r="1038" spans="1:9" ht="14.4" thickBot="1" x14ac:dyDescent="0.3">
      <c r="A1038" s="182"/>
      <c r="B1038" s="183" t="s">
        <v>42</v>
      </c>
      <c r="C1038" s="184" t="s">
        <v>7</v>
      </c>
      <c r="D1038" s="185">
        <v>1.2999999999999999E-2</v>
      </c>
      <c r="E1038" s="177">
        <f>'HARGA BAHAN'!E7</f>
        <v>175000</v>
      </c>
      <c r="F1038" s="178">
        <f>+D1038*E1038</f>
        <v>2275</v>
      </c>
    </row>
    <row r="1039" spans="1:9" ht="14.4" thickBot="1" x14ac:dyDescent="0.3">
      <c r="A1039" s="186"/>
      <c r="B1039" s="187"/>
      <c r="C1039" s="188"/>
      <c r="D1039" s="189" t="s">
        <v>8</v>
      </c>
      <c r="E1039" s="190"/>
      <c r="F1039" s="191">
        <f>SUM(F1035:F1038)</f>
        <v>57915</v>
      </c>
    </row>
    <row r="1040" spans="1:9" x14ac:dyDescent="0.25">
      <c r="A1040" s="192" t="s">
        <v>9</v>
      </c>
      <c r="B1040" s="193" t="s">
        <v>77</v>
      </c>
      <c r="C1040" s="194"/>
      <c r="D1040" s="194"/>
      <c r="E1040" s="194"/>
      <c r="F1040" s="195"/>
    </row>
    <row r="1041" spans="1:6" x14ac:dyDescent="0.25">
      <c r="A1041" s="196"/>
      <c r="B1041" s="197" t="s">
        <v>135</v>
      </c>
      <c r="C1041" s="198" t="s">
        <v>159</v>
      </c>
      <c r="D1041" s="388">
        <v>3</v>
      </c>
      <c r="E1041" s="200">
        <f>'HARGA BAHAN'!E44</f>
        <v>103750</v>
      </c>
      <c r="F1041" s="178">
        <f>+D1041*E1041</f>
        <v>311250</v>
      </c>
    </row>
    <row r="1042" spans="1:6" x14ac:dyDescent="0.25">
      <c r="A1042" s="389"/>
      <c r="B1042" s="390" t="s">
        <v>210</v>
      </c>
      <c r="C1042" s="391" t="s">
        <v>213</v>
      </c>
      <c r="D1042" s="392">
        <v>9.8000000000000007</v>
      </c>
      <c r="E1042" s="393">
        <f>'HARGA BAHAN'!E13</f>
        <v>2000</v>
      </c>
      <c r="F1042" s="178">
        <f>+D1042*E1042</f>
        <v>19600</v>
      </c>
    </row>
    <row r="1043" spans="1:6" x14ac:dyDescent="0.25">
      <c r="A1043" s="389"/>
      <c r="B1043" s="390" t="s">
        <v>211</v>
      </c>
      <c r="C1043" s="391" t="s">
        <v>214</v>
      </c>
      <c r="D1043" s="392">
        <v>4.4999999999999998E-2</v>
      </c>
      <c r="E1043" s="393">
        <f>'HARGA BAHAN'!E15</f>
        <v>210000</v>
      </c>
      <c r="F1043" s="178">
        <f>+D1043*E1043</f>
        <v>9450</v>
      </c>
    </row>
    <row r="1044" spans="1:6" ht="14.4" thickBot="1" x14ac:dyDescent="0.3">
      <c r="A1044" s="378"/>
      <c r="B1044" s="379" t="s">
        <v>212</v>
      </c>
      <c r="C1044" s="380" t="s">
        <v>213</v>
      </c>
      <c r="D1044" s="381">
        <v>1.3</v>
      </c>
      <c r="E1044" s="382">
        <f>'HARGA BAHAN'!E45</f>
        <v>6438.0000000000009</v>
      </c>
      <c r="F1044" s="178">
        <f>+D1044*E1044</f>
        <v>8369.4000000000015</v>
      </c>
    </row>
    <row r="1045" spans="1:6" ht="14.4" thickBot="1" x14ac:dyDescent="0.3">
      <c r="A1045" s="186"/>
      <c r="B1045" s="205"/>
      <c r="C1045" s="205"/>
      <c r="D1045" s="206" t="s">
        <v>10</v>
      </c>
      <c r="E1045" s="205"/>
      <c r="F1045" s="191">
        <f>SUM(F1041:F1044)</f>
        <v>348669.4</v>
      </c>
    </row>
    <row r="1046" spans="1:6" x14ac:dyDescent="0.25">
      <c r="A1046" s="192" t="s">
        <v>11</v>
      </c>
      <c r="B1046" s="193" t="s">
        <v>78</v>
      </c>
      <c r="C1046" s="194"/>
      <c r="D1046" s="194"/>
      <c r="E1046" s="194"/>
      <c r="F1046" s="195"/>
    </row>
    <row r="1047" spans="1:6" ht="14.4" thickBot="1" x14ac:dyDescent="0.3">
      <c r="A1047" s="207"/>
      <c r="B1047" s="208"/>
      <c r="C1047" s="209"/>
      <c r="D1047" s="210"/>
      <c r="E1047" s="211"/>
      <c r="F1047" s="212"/>
    </row>
    <row r="1048" spans="1:6" ht="14.4" thickBot="1" x14ac:dyDescent="0.3">
      <c r="A1048" s="186"/>
      <c r="B1048" s="187"/>
      <c r="C1048" s="188"/>
      <c r="D1048" s="189" t="s">
        <v>12</v>
      </c>
      <c r="E1048" s="190"/>
      <c r="F1048" s="191">
        <f>SUM(F1047)</f>
        <v>0</v>
      </c>
    </row>
    <row r="1049" spans="1:6" x14ac:dyDescent="0.25">
      <c r="A1049" s="192" t="s">
        <v>13</v>
      </c>
      <c r="B1049" s="193" t="s">
        <v>14</v>
      </c>
      <c r="C1049" s="213"/>
      <c r="D1049" s="213"/>
      <c r="E1049" s="214"/>
      <c r="F1049" s="215">
        <f>+F1039+F1045+F1048</f>
        <v>406584.4</v>
      </c>
    </row>
    <row r="1050" spans="1:6" x14ac:dyDescent="0.25">
      <c r="A1050" s="169" t="s">
        <v>15</v>
      </c>
      <c r="B1050" s="170" t="s">
        <v>51</v>
      </c>
      <c r="C1050" s="216"/>
      <c r="D1050" s="216"/>
      <c r="E1050" s="217"/>
      <c r="F1050" s="218">
        <f>F1049*15%</f>
        <v>60987.66</v>
      </c>
    </row>
    <row r="1051" spans="1:6" ht="14.4" thickBot="1" x14ac:dyDescent="0.3">
      <c r="A1051" s="219" t="s">
        <v>16</v>
      </c>
      <c r="B1051" s="220" t="s">
        <v>17</v>
      </c>
      <c r="C1051" s="221"/>
      <c r="D1051" s="221"/>
      <c r="E1051" s="222"/>
      <c r="F1051" s="223">
        <f>SUM(F1049:F1050)</f>
        <v>467572.06000000006</v>
      </c>
    </row>
    <row r="1052" spans="1:6" x14ac:dyDescent="0.25">
      <c r="A1052" s="294"/>
      <c r="B1052" s="225"/>
      <c r="C1052" s="225"/>
      <c r="D1052" s="225"/>
      <c r="E1052" s="225"/>
      <c r="F1052" s="295"/>
    </row>
    <row r="1053" spans="1:6" ht="16.2" thickBot="1" x14ac:dyDescent="0.3">
      <c r="A1053" s="296" t="s">
        <v>456</v>
      </c>
      <c r="B1053" s="297" t="s">
        <v>459</v>
      </c>
      <c r="C1053" s="298"/>
      <c r="D1053" s="298"/>
      <c r="E1053" s="298"/>
      <c r="F1053" s="298"/>
    </row>
    <row r="1054" spans="1:6" ht="28.2" thickBot="1" x14ac:dyDescent="0.3">
      <c r="A1054" s="299" t="s">
        <v>2</v>
      </c>
      <c r="B1054" s="300" t="s">
        <v>3</v>
      </c>
      <c r="C1054" s="300" t="s">
        <v>0</v>
      </c>
      <c r="D1054" s="300" t="s">
        <v>4</v>
      </c>
      <c r="E1054" s="300" t="s">
        <v>5</v>
      </c>
      <c r="F1054" s="301" t="s">
        <v>6</v>
      </c>
    </row>
    <row r="1055" spans="1:6" x14ac:dyDescent="0.25">
      <c r="A1055" s="302">
        <v>1</v>
      </c>
      <c r="B1055" s="303">
        <v>2</v>
      </c>
      <c r="C1055" s="303">
        <v>3</v>
      </c>
      <c r="D1055" s="303">
        <v>4</v>
      </c>
      <c r="E1055" s="303">
        <v>5</v>
      </c>
      <c r="F1055" s="304">
        <v>6</v>
      </c>
    </row>
    <row r="1056" spans="1:6" x14ac:dyDescent="0.25">
      <c r="A1056" s="305" t="s">
        <v>1</v>
      </c>
      <c r="B1056" s="306" t="s">
        <v>76</v>
      </c>
      <c r="C1056" s="307"/>
      <c r="D1056" s="307"/>
      <c r="E1056" s="307"/>
      <c r="F1056" s="308"/>
    </row>
    <row r="1057" spans="1:6" x14ac:dyDescent="0.25">
      <c r="A1057" s="309"/>
      <c r="B1057" s="310" t="s">
        <v>40</v>
      </c>
      <c r="C1057" s="311" t="s">
        <v>7</v>
      </c>
      <c r="D1057" s="312">
        <v>0.26</v>
      </c>
      <c r="E1057" s="313">
        <f>'HARGA BAHAN'!E4</f>
        <v>125000</v>
      </c>
      <c r="F1057" s="314">
        <f>+D1057*E1057</f>
        <v>32500</v>
      </c>
    </row>
    <row r="1058" spans="1:6" x14ac:dyDescent="0.25">
      <c r="A1058" s="309"/>
      <c r="B1058" s="315" t="s">
        <v>86</v>
      </c>
      <c r="C1058" s="316" t="s">
        <v>7</v>
      </c>
      <c r="D1058" s="317">
        <v>0.13</v>
      </c>
      <c r="E1058" s="313">
        <f>'HARGA BAHAN'!E5</f>
        <v>160000</v>
      </c>
      <c r="F1058" s="314">
        <f>+D1058*E1058</f>
        <v>20800</v>
      </c>
    </row>
    <row r="1059" spans="1:6" x14ac:dyDescent="0.25">
      <c r="A1059" s="309"/>
      <c r="B1059" s="310" t="s">
        <v>87</v>
      </c>
      <c r="C1059" s="311" t="s">
        <v>7</v>
      </c>
      <c r="D1059" s="312">
        <v>1.2999999999999999E-2</v>
      </c>
      <c r="E1059" s="313">
        <f>'HARGA BAHAN'!E6</f>
        <v>180000</v>
      </c>
      <c r="F1059" s="314">
        <f>+D1059*E1059</f>
        <v>2340</v>
      </c>
    </row>
    <row r="1060" spans="1:6" ht="14.4" thickBot="1" x14ac:dyDescent="0.3">
      <c r="A1060" s="318"/>
      <c r="B1060" s="319" t="s">
        <v>42</v>
      </c>
      <c r="C1060" s="320" t="s">
        <v>7</v>
      </c>
      <c r="D1060" s="321">
        <v>1.2999999999999999E-2</v>
      </c>
      <c r="E1060" s="313">
        <f>'HARGA BAHAN'!E7</f>
        <v>175000</v>
      </c>
      <c r="F1060" s="314">
        <f>+D1060*E1060</f>
        <v>2275</v>
      </c>
    </row>
    <row r="1061" spans="1:6" ht="14.4" thickBot="1" x14ac:dyDescent="0.3">
      <c r="A1061" s="322"/>
      <c r="B1061" s="323"/>
      <c r="C1061" s="324"/>
      <c r="D1061" s="325" t="s">
        <v>8</v>
      </c>
      <c r="E1061" s="326"/>
      <c r="F1061" s="327">
        <f>SUM(F1057:F1060)</f>
        <v>57915</v>
      </c>
    </row>
    <row r="1062" spans="1:6" x14ac:dyDescent="0.25">
      <c r="A1062" s="328" t="s">
        <v>9</v>
      </c>
      <c r="B1062" s="329" t="s">
        <v>77</v>
      </c>
      <c r="C1062" s="330"/>
      <c r="D1062" s="330"/>
      <c r="E1062" s="330"/>
      <c r="F1062" s="331"/>
    </row>
    <row r="1063" spans="1:6" x14ac:dyDescent="0.25">
      <c r="A1063" s="332"/>
      <c r="B1063" s="333" t="s">
        <v>457</v>
      </c>
      <c r="C1063" s="334" t="s">
        <v>159</v>
      </c>
      <c r="D1063" s="335">
        <v>16</v>
      </c>
      <c r="E1063" s="336">
        <f>'HARGA BAHAN'!E40</f>
        <v>5000</v>
      </c>
      <c r="F1063" s="314">
        <f>+D1063*E1063</f>
        <v>80000</v>
      </c>
    </row>
    <row r="1064" spans="1:6" x14ac:dyDescent="0.25">
      <c r="A1064" s="337"/>
      <c r="B1064" s="338" t="s">
        <v>210</v>
      </c>
      <c r="C1064" s="339" t="s">
        <v>213</v>
      </c>
      <c r="D1064" s="340">
        <v>10</v>
      </c>
      <c r="E1064" s="341">
        <f>'HARGA BAHAN'!E13</f>
        <v>2000</v>
      </c>
      <c r="F1064" s="314">
        <f>+D1064*E1064</f>
        <v>20000</v>
      </c>
    </row>
    <row r="1065" spans="1:6" x14ac:dyDescent="0.25">
      <c r="A1065" s="337"/>
      <c r="B1065" s="338" t="s">
        <v>211</v>
      </c>
      <c r="C1065" s="339" t="s">
        <v>214</v>
      </c>
      <c r="D1065" s="340">
        <v>4.4999999999999998E-2</v>
      </c>
      <c r="E1065" s="341">
        <f>'HARGA BAHAN'!E15</f>
        <v>210000</v>
      </c>
      <c r="F1065" s="314">
        <f>+D1065*E1065</f>
        <v>9450</v>
      </c>
    </row>
    <row r="1066" spans="1:6" ht="14.4" thickBot="1" x14ac:dyDescent="0.3">
      <c r="A1066" s="342"/>
      <c r="B1066" s="343" t="s">
        <v>212</v>
      </c>
      <c r="C1066" s="344" t="s">
        <v>213</v>
      </c>
      <c r="D1066" s="345">
        <v>1.45</v>
      </c>
      <c r="E1066" s="346">
        <f>'HARGA BAHAN'!E45</f>
        <v>6438.0000000000009</v>
      </c>
      <c r="F1066" s="314">
        <f>+D1066*E1066</f>
        <v>9335.1</v>
      </c>
    </row>
    <row r="1067" spans="1:6" ht="14.4" thickBot="1" x14ac:dyDescent="0.3">
      <c r="A1067" s="322"/>
      <c r="B1067" s="347"/>
      <c r="C1067" s="347"/>
      <c r="D1067" s="348" t="s">
        <v>10</v>
      </c>
      <c r="E1067" s="347"/>
      <c r="F1067" s="327">
        <f>SUM(F1063:F1066)</f>
        <v>118785.1</v>
      </c>
    </row>
    <row r="1068" spans="1:6" x14ac:dyDescent="0.25">
      <c r="A1068" s="328" t="s">
        <v>11</v>
      </c>
      <c r="B1068" s="329" t="s">
        <v>78</v>
      </c>
      <c r="C1068" s="330"/>
      <c r="D1068" s="330"/>
      <c r="E1068" s="330"/>
      <c r="F1068" s="331"/>
    </row>
    <row r="1069" spans="1:6" ht="14.4" thickBot="1" x14ac:dyDescent="0.3">
      <c r="A1069" s="349"/>
      <c r="B1069" s="350"/>
      <c r="C1069" s="351"/>
      <c r="D1069" s="352"/>
      <c r="E1069" s="353"/>
      <c r="F1069" s="354"/>
    </row>
    <row r="1070" spans="1:6" ht="14.4" thickBot="1" x14ac:dyDescent="0.3">
      <c r="A1070" s="322"/>
      <c r="B1070" s="323"/>
      <c r="C1070" s="324"/>
      <c r="D1070" s="325" t="s">
        <v>12</v>
      </c>
      <c r="E1070" s="326"/>
      <c r="F1070" s="327">
        <f>SUM(F1069)</f>
        <v>0</v>
      </c>
    </row>
    <row r="1071" spans="1:6" x14ac:dyDescent="0.25">
      <c r="A1071" s="328" t="s">
        <v>13</v>
      </c>
      <c r="B1071" s="329" t="s">
        <v>14</v>
      </c>
      <c r="C1071" s="355"/>
      <c r="D1071" s="355"/>
      <c r="E1071" s="356"/>
      <c r="F1071" s="357">
        <f>+F1061+F1067+F1070</f>
        <v>176700.1</v>
      </c>
    </row>
    <row r="1072" spans="1:6" x14ac:dyDescent="0.25">
      <c r="A1072" s="305" t="s">
        <v>15</v>
      </c>
      <c r="B1072" s="306" t="s">
        <v>51</v>
      </c>
      <c r="C1072" s="358"/>
      <c r="D1072" s="358"/>
      <c r="E1072" s="359"/>
      <c r="F1072" s="360">
        <f>F1071*15%</f>
        <v>26505.014999999999</v>
      </c>
    </row>
    <row r="1073" spans="1:6" ht="14.4" thickBot="1" x14ac:dyDescent="0.3">
      <c r="A1073" s="361" t="s">
        <v>16</v>
      </c>
      <c r="B1073" s="362" t="s">
        <v>17</v>
      </c>
      <c r="C1073" s="363"/>
      <c r="D1073" s="363"/>
      <c r="E1073" s="364"/>
      <c r="F1073" s="365">
        <f>SUM(F1071:F1072)</f>
        <v>203205.11499999999</v>
      </c>
    </row>
    <row r="1074" spans="1:6" x14ac:dyDescent="0.25">
      <c r="A1074" s="294"/>
      <c r="B1074" s="225"/>
      <c r="C1074" s="225"/>
      <c r="D1074" s="225"/>
      <c r="E1074" s="225"/>
      <c r="F1074" s="295"/>
    </row>
    <row r="1075" spans="1:6" ht="16.2" thickBot="1" x14ac:dyDescent="0.3">
      <c r="A1075" s="296" t="s">
        <v>460</v>
      </c>
      <c r="B1075" s="297" t="s">
        <v>461</v>
      </c>
      <c r="C1075" s="298"/>
      <c r="D1075" s="298"/>
      <c r="E1075" s="298"/>
      <c r="F1075" s="298"/>
    </row>
    <row r="1076" spans="1:6" ht="28.2" thickBot="1" x14ac:dyDescent="0.3">
      <c r="A1076" s="299" t="s">
        <v>2</v>
      </c>
      <c r="B1076" s="300" t="s">
        <v>3</v>
      </c>
      <c r="C1076" s="300" t="s">
        <v>0</v>
      </c>
      <c r="D1076" s="300" t="s">
        <v>4</v>
      </c>
      <c r="E1076" s="300" t="s">
        <v>5</v>
      </c>
      <c r="F1076" s="301" t="s">
        <v>6</v>
      </c>
    </row>
    <row r="1077" spans="1:6" x14ac:dyDescent="0.25">
      <c r="A1077" s="302">
        <v>1</v>
      </c>
      <c r="B1077" s="303">
        <v>2</v>
      </c>
      <c r="C1077" s="303">
        <v>3</v>
      </c>
      <c r="D1077" s="303">
        <v>4</v>
      </c>
      <c r="E1077" s="303">
        <v>5</v>
      </c>
      <c r="F1077" s="304">
        <v>6</v>
      </c>
    </row>
    <row r="1078" spans="1:6" x14ac:dyDescent="0.25">
      <c r="A1078" s="305" t="s">
        <v>1</v>
      </c>
      <c r="B1078" s="306" t="s">
        <v>76</v>
      </c>
      <c r="C1078" s="307"/>
      <c r="D1078" s="307"/>
      <c r="E1078" s="307"/>
      <c r="F1078" s="308"/>
    </row>
    <row r="1079" spans="1:6" x14ac:dyDescent="0.25">
      <c r="A1079" s="309"/>
      <c r="B1079" s="310" t="s">
        <v>40</v>
      </c>
      <c r="C1079" s="311" t="s">
        <v>7</v>
      </c>
      <c r="D1079" s="312">
        <v>0.26</v>
      </c>
      <c r="E1079" s="313">
        <f>'HARGA BAHAN'!E4</f>
        <v>125000</v>
      </c>
      <c r="F1079" s="314">
        <f>+D1079*E1079</f>
        <v>32500</v>
      </c>
    </row>
    <row r="1080" spans="1:6" x14ac:dyDescent="0.25">
      <c r="A1080" s="309"/>
      <c r="B1080" s="315" t="s">
        <v>86</v>
      </c>
      <c r="C1080" s="316" t="s">
        <v>7</v>
      </c>
      <c r="D1080" s="317">
        <v>0.13</v>
      </c>
      <c r="E1080" s="313">
        <f>'HARGA BAHAN'!E5</f>
        <v>160000</v>
      </c>
      <c r="F1080" s="314">
        <f>+D1080*E1080</f>
        <v>20800</v>
      </c>
    </row>
    <row r="1081" spans="1:6" x14ac:dyDescent="0.25">
      <c r="A1081" s="309"/>
      <c r="B1081" s="310" t="s">
        <v>87</v>
      </c>
      <c r="C1081" s="311" t="s">
        <v>7</v>
      </c>
      <c r="D1081" s="312">
        <v>1.2999999999999999E-2</v>
      </c>
      <c r="E1081" s="313">
        <f>'HARGA BAHAN'!E6</f>
        <v>180000</v>
      </c>
      <c r="F1081" s="314">
        <f>+D1081*E1081</f>
        <v>2340</v>
      </c>
    </row>
    <row r="1082" spans="1:6" ht="14.4" thickBot="1" x14ac:dyDescent="0.3">
      <c r="A1082" s="318"/>
      <c r="B1082" s="319" t="s">
        <v>42</v>
      </c>
      <c r="C1082" s="320" t="s">
        <v>7</v>
      </c>
      <c r="D1082" s="321">
        <v>1.2999999999999999E-2</v>
      </c>
      <c r="E1082" s="313">
        <f>'HARGA BAHAN'!E7</f>
        <v>175000</v>
      </c>
      <c r="F1082" s="314">
        <f>+D1082*E1082</f>
        <v>2275</v>
      </c>
    </row>
    <row r="1083" spans="1:6" ht="14.4" thickBot="1" x14ac:dyDescent="0.3">
      <c r="A1083" s="322"/>
      <c r="B1083" s="323"/>
      <c r="C1083" s="324"/>
      <c r="D1083" s="325" t="s">
        <v>8</v>
      </c>
      <c r="E1083" s="326"/>
      <c r="F1083" s="327">
        <f>SUM(F1079:F1082)</f>
        <v>57915</v>
      </c>
    </row>
    <row r="1084" spans="1:6" x14ac:dyDescent="0.25">
      <c r="A1084" s="328" t="s">
        <v>9</v>
      </c>
      <c r="B1084" s="329" t="s">
        <v>77</v>
      </c>
      <c r="C1084" s="330"/>
      <c r="D1084" s="330"/>
      <c r="E1084" s="330"/>
      <c r="F1084" s="331"/>
    </row>
    <row r="1085" spans="1:6" x14ac:dyDescent="0.25">
      <c r="A1085" s="332"/>
      <c r="B1085" s="333" t="s">
        <v>462</v>
      </c>
      <c r="C1085" s="334" t="s">
        <v>159</v>
      </c>
      <c r="D1085" s="335">
        <v>10</v>
      </c>
      <c r="E1085" s="336">
        <f>'HARGA BAHAN'!E42</f>
        <v>10000</v>
      </c>
      <c r="F1085" s="314">
        <f>+D1085*E1085</f>
        <v>100000</v>
      </c>
    </row>
    <row r="1086" spans="1:6" x14ac:dyDescent="0.25">
      <c r="A1086" s="337"/>
      <c r="B1086" s="338" t="s">
        <v>210</v>
      </c>
      <c r="C1086" s="339" t="s">
        <v>213</v>
      </c>
      <c r="D1086" s="340">
        <v>9.8000000000000007</v>
      </c>
      <c r="E1086" s="341">
        <f>'HARGA BAHAN'!E13</f>
        <v>2000</v>
      </c>
      <c r="F1086" s="314">
        <f>+D1086*E1086</f>
        <v>19600</v>
      </c>
    </row>
    <row r="1087" spans="1:6" x14ac:dyDescent="0.25">
      <c r="A1087" s="337"/>
      <c r="B1087" s="338" t="s">
        <v>211</v>
      </c>
      <c r="C1087" s="339" t="s">
        <v>214</v>
      </c>
      <c r="D1087" s="340">
        <v>4.4999999999999998E-2</v>
      </c>
      <c r="E1087" s="341">
        <f>'HARGA BAHAN'!E15</f>
        <v>210000</v>
      </c>
      <c r="F1087" s="314">
        <f>+D1087*E1087</f>
        <v>9450</v>
      </c>
    </row>
    <row r="1088" spans="1:6" ht="14.4" thickBot="1" x14ac:dyDescent="0.3">
      <c r="A1088" s="342"/>
      <c r="B1088" s="343" t="s">
        <v>212</v>
      </c>
      <c r="C1088" s="344" t="s">
        <v>213</v>
      </c>
      <c r="D1088" s="345">
        <v>1.3</v>
      </c>
      <c r="E1088" s="346">
        <f>'HARGA BAHAN'!E45</f>
        <v>6438.0000000000009</v>
      </c>
      <c r="F1088" s="314">
        <f>+D1088*E1088</f>
        <v>8369.4000000000015</v>
      </c>
    </row>
    <row r="1089" spans="1:6" ht="14.4" thickBot="1" x14ac:dyDescent="0.3">
      <c r="A1089" s="322"/>
      <c r="B1089" s="347"/>
      <c r="C1089" s="347"/>
      <c r="D1089" s="348" t="s">
        <v>10</v>
      </c>
      <c r="E1089" s="347"/>
      <c r="F1089" s="327">
        <f>SUM(F1085:F1088)</f>
        <v>137419.4</v>
      </c>
    </row>
    <row r="1090" spans="1:6" x14ac:dyDescent="0.25">
      <c r="A1090" s="328" t="s">
        <v>11</v>
      </c>
      <c r="B1090" s="329" t="s">
        <v>78</v>
      </c>
      <c r="C1090" s="330"/>
      <c r="D1090" s="330"/>
      <c r="E1090" s="330"/>
      <c r="F1090" s="331"/>
    </row>
    <row r="1091" spans="1:6" ht="14.4" thickBot="1" x14ac:dyDescent="0.3">
      <c r="A1091" s="349"/>
      <c r="B1091" s="350"/>
      <c r="C1091" s="351"/>
      <c r="D1091" s="352"/>
      <c r="E1091" s="353"/>
      <c r="F1091" s="354"/>
    </row>
    <row r="1092" spans="1:6" ht="14.4" thickBot="1" x14ac:dyDescent="0.3">
      <c r="A1092" s="322"/>
      <c r="B1092" s="323"/>
      <c r="C1092" s="324"/>
      <c r="D1092" s="325" t="s">
        <v>12</v>
      </c>
      <c r="E1092" s="326"/>
      <c r="F1092" s="327">
        <f>SUM(F1091)</f>
        <v>0</v>
      </c>
    </row>
    <row r="1093" spans="1:6" x14ac:dyDescent="0.25">
      <c r="A1093" s="328" t="s">
        <v>13</v>
      </c>
      <c r="B1093" s="329" t="s">
        <v>14</v>
      </c>
      <c r="C1093" s="355"/>
      <c r="D1093" s="355"/>
      <c r="E1093" s="356"/>
      <c r="F1093" s="357">
        <f>+F1083+F1089+F1092</f>
        <v>195334.39999999999</v>
      </c>
    </row>
    <row r="1094" spans="1:6" x14ac:dyDescent="0.25">
      <c r="A1094" s="305" t="s">
        <v>15</v>
      </c>
      <c r="B1094" s="306" t="s">
        <v>51</v>
      </c>
      <c r="C1094" s="358"/>
      <c r="D1094" s="358"/>
      <c r="E1094" s="359"/>
      <c r="F1094" s="360">
        <f>F1093*15%</f>
        <v>29300.16</v>
      </c>
    </row>
    <row r="1095" spans="1:6" ht="14.4" thickBot="1" x14ac:dyDescent="0.3">
      <c r="A1095" s="361" t="s">
        <v>16</v>
      </c>
      <c r="B1095" s="362" t="s">
        <v>17</v>
      </c>
      <c r="C1095" s="363"/>
      <c r="D1095" s="363"/>
      <c r="E1095" s="364"/>
      <c r="F1095" s="365">
        <f>SUM(F1093:F1094)</f>
        <v>224634.56</v>
      </c>
    </row>
    <row r="1096" spans="1:6" x14ac:dyDescent="0.25">
      <c r="A1096" s="294"/>
      <c r="B1096" s="225"/>
      <c r="C1096" s="225"/>
      <c r="D1096" s="225"/>
      <c r="E1096" s="225"/>
      <c r="F1096" s="295"/>
    </row>
    <row r="1097" spans="1:6" ht="14.4" thickBot="1" x14ac:dyDescent="0.3">
      <c r="A1097" s="296" t="s">
        <v>681</v>
      </c>
      <c r="B1097" s="297" t="s">
        <v>682</v>
      </c>
      <c r="C1097" s="298"/>
      <c r="D1097" s="298"/>
      <c r="E1097" s="298"/>
      <c r="F1097" s="298"/>
    </row>
    <row r="1098" spans="1:6" ht="28.2" thickBot="1" x14ac:dyDescent="0.3">
      <c r="A1098" s="299" t="s">
        <v>2</v>
      </c>
      <c r="B1098" s="300" t="s">
        <v>3</v>
      </c>
      <c r="C1098" s="300" t="s">
        <v>0</v>
      </c>
      <c r="D1098" s="300" t="s">
        <v>4</v>
      </c>
      <c r="E1098" s="300" t="s">
        <v>5</v>
      </c>
      <c r="F1098" s="301" t="s">
        <v>6</v>
      </c>
    </row>
    <row r="1099" spans="1:6" x14ac:dyDescent="0.25">
      <c r="A1099" s="302">
        <v>1</v>
      </c>
      <c r="B1099" s="303">
        <v>2</v>
      </c>
      <c r="C1099" s="303">
        <v>3</v>
      </c>
      <c r="D1099" s="303">
        <v>4</v>
      </c>
      <c r="E1099" s="303">
        <v>5</v>
      </c>
      <c r="F1099" s="304">
        <v>6</v>
      </c>
    </row>
    <row r="1100" spans="1:6" x14ac:dyDescent="0.25">
      <c r="A1100" s="305" t="s">
        <v>1</v>
      </c>
      <c r="B1100" s="306" t="s">
        <v>76</v>
      </c>
      <c r="C1100" s="307"/>
      <c r="D1100" s="307"/>
      <c r="E1100" s="307"/>
      <c r="F1100" s="308"/>
    </row>
    <row r="1101" spans="1:6" x14ac:dyDescent="0.25">
      <c r="A1101" s="309"/>
      <c r="B1101" s="310" t="s">
        <v>40</v>
      </c>
      <c r="C1101" s="311" t="s">
        <v>7</v>
      </c>
      <c r="D1101" s="312">
        <v>0.1</v>
      </c>
      <c r="E1101" s="313">
        <f>'HARGA BAHAN'!E4</f>
        <v>125000</v>
      </c>
      <c r="F1101" s="314">
        <f>+D1101*E1101</f>
        <v>12500</v>
      </c>
    </row>
    <row r="1102" spans="1:6" x14ac:dyDescent="0.25">
      <c r="A1102" s="309"/>
      <c r="B1102" s="315" t="s">
        <v>86</v>
      </c>
      <c r="C1102" s="316" t="s">
        <v>7</v>
      </c>
      <c r="D1102" s="317">
        <v>0.2</v>
      </c>
      <c r="E1102" s="313">
        <f>'HARGA BAHAN'!E5</f>
        <v>160000</v>
      </c>
      <c r="F1102" s="314">
        <f>+D1102*E1102</f>
        <v>32000</v>
      </c>
    </row>
    <row r="1103" spans="1:6" x14ac:dyDescent="0.25">
      <c r="A1103" s="309"/>
      <c r="B1103" s="310" t="s">
        <v>87</v>
      </c>
      <c r="C1103" s="311" t="s">
        <v>7</v>
      </c>
      <c r="D1103" s="312">
        <v>0.02</v>
      </c>
      <c r="E1103" s="313">
        <f>'HARGA BAHAN'!E6</f>
        <v>180000</v>
      </c>
      <c r="F1103" s="314">
        <f>+D1103*E1103</f>
        <v>3600</v>
      </c>
    </row>
    <row r="1104" spans="1:6" ht="14.4" thickBot="1" x14ac:dyDescent="0.3">
      <c r="A1104" s="318"/>
      <c r="B1104" s="319" t="s">
        <v>42</v>
      </c>
      <c r="C1104" s="320" t="s">
        <v>7</v>
      </c>
      <c r="D1104" s="321">
        <v>5.0000000000000001E-3</v>
      </c>
      <c r="E1104" s="313">
        <f>'HARGA BAHAN'!E7</f>
        <v>175000</v>
      </c>
      <c r="F1104" s="314">
        <f>+D1104*E1104</f>
        <v>875</v>
      </c>
    </row>
    <row r="1105" spans="1:6" ht="14.4" thickBot="1" x14ac:dyDescent="0.3">
      <c r="A1105" s="322"/>
      <c r="B1105" s="323"/>
      <c r="C1105" s="324"/>
      <c r="D1105" s="325" t="s">
        <v>8</v>
      </c>
      <c r="E1105" s="326"/>
      <c r="F1105" s="327">
        <f>SUM(F1101:F1104)</f>
        <v>48975</v>
      </c>
    </row>
    <row r="1106" spans="1:6" x14ac:dyDescent="0.25">
      <c r="A1106" s="328" t="s">
        <v>9</v>
      </c>
      <c r="B1106" s="329" t="s">
        <v>77</v>
      </c>
      <c r="C1106" s="330"/>
      <c r="D1106" s="330"/>
      <c r="E1106" s="330"/>
      <c r="F1106" s="331"/>
    </row>
    <row r="1107" spans="1:6" x14ac:dyDescent="0.25">
      <c r="A1107" s="332"/>
      <c r="B1107" s="333" t="s">
        <v>683</v>
      </c>
      <c r="C1107" s="334" t="s">
        <v>248</v>
      </c>
      <c r="D1107" s="335">
        <v>0.28000000000000003</v>
      </c>
      <c r="E1107" s="336">
        <f>'HARGA BAHAN'!E35</f>
        <v>98000</v>
      </c>
      <c r="F1107" s="314">
        <f>+D1107*E1107</f>
        <v>27440.000000000004</v>
      </c>
    </row>
    <row r="1108" spans="1:6" ht="14.4" thickBot="1" x14ac:dyDescent="0.3">
      <c r="A1108" s="337"/>
      <c r="B1108" s="338" t="s">
        <v>183</v>
      </c>
      <c r="C1108" s="339" t="s">
        <v>159</v>
      </c>
      <c r="D1108" s="340">
        <v>4</v>
      </c>
      <c r="E1108" s="341">
        <f>'HARGA BAHAN'!E79</f>
        <v>550</v>
      </c>
      <c r="F1108" s="314">
        <f>+D1108*E1108</f>
        <v>2200</v>
      </c>
    </row>
    <row r="1109" spans="1:6" ht="14.4" thickBot="1" x14ac:dyDescent="0.3">
      <c r="A1109" s="322"/>
      <c r="B1109" s="347"/>
      <c r="C1109" s="347"/>
      <c r="D1109" s="348" t="s">
        <v>10</v>
      </c>
      <c r="E1109" s="347"/>
      <c r="F1109" s="327">
        <f>SUM(F1107:F1108)</f>
        <v>29640.000000000004</v>
      </c>
    </row>
    <row r="1110" spans="1:6" x14ac:dyDescent="0.25">
      <c r="A1110" s="328" t="s">
        <v>11</v>
      </c>
      <c r="B1110" s="329" t="s">
        <v>78</v>
      </c>
      <c r="C1110" s="330"/>
      <c r="D1110" s="330"/>
      <c r="E1110" s="330"/>
      <c r="F1110" s="331"/>
    </row>
    <row r="1111" spans="1:6" ht="14.4" thickBot="1" x14ac:dyDescent="0.3">
      <c r="A1111" s="349"/>
      <c r="B1111" s="350"/>
      <c r="C1111" s="351"/>
      <c r="D1111" s="352"/>
      <c r="E1111" s="353"/>
      <c r="F1111" s="354"/>
    </row>
    <row r="1112" spans="1:6" ht="14.4" thickBot="1" x14ac:dyDescent="0.3">
      <c r="A1112" s="322"/>
      <c r="B1112" s="323"/>
      <c r="C1112" s="324"/>
      <c r="D1112" s="325" t="s">
        <v>12</v>
      </c>
      <c r="E1112" s="326"/>
      <c r="F1112" s="327">
        <f>SUM(F1111)</f>
        <v>0</v>
      </c>
    </row>
    <row r="1113" spans="1:6" x14ac:dyDescent="0.25">
      <c r="A1113" s="328" t="s">
        <v>13</v>
      </c>
      <c r="B1113" s="329" t="s">
        <v>14</v>
      </c>
      <c r="C1113" s="355"/>
      <c r="D1113" s="355"/>
      <c r="E1113" s="356"/>
      <c r="F1113" s="357">
        <f>+F1105+F1109+F1112</f>
        <v>78615</v>
      </c>
    </row>
    <row r="1114" spans="1:6" x14ac:dyDescent="0.25">
      <c r="A1114" s="305" t="s">
        <v>15</v>
      </c>
      <c r="B1114" s="306" t="s">
        <v>51</v>
      </c>
      <c r="C1114" s="358"/>
      <c r="D1114" s="358"/>
      <c r="E1114" s="359"/>
      <c r="F1114" s="360">
        <f>F1113*15%</f>
        <v>11792.25</v>
      </c>
    </row>
    <row r="1115" spans="1:6" ht="14.4" thickBot="1" x14ac:dyDescent="0.3">
      <c r="A1115" s="361" t="s">
        <v>16</v>
      </c>
      <c r="B1115" s="362" t="s">
        <v>17</v>
      </c>
      <c r="C1115" s="363"/>
      <c r="D1115" s="363"/>
      <c r="E1115" s="364"/>
      <c r="F1115" s="365">
        <f>SUM(F1113:F1114)</f>
        <v>90407.25</v>
      </c>
    </row>
    <row r="1116" spans="1:6" x14ac:dyDescent="0.25">
      <c r="A1116" s="294"/>
      <c r="B1116" s="225"/>
      <c r="C1116" s="225"/>
      <c r="D1116" s="225"/>
      <c r="E1116" s="225"/>
      <c r="F1116" s="295"/>
    </row>
    <row r="1117" spans="1:6" ht="14.4" thickBot="1" x14ac:dyDescent="0.3">
      <c r="A1117" s="71" t="s">
        <v>267</v>
      </c>
      <c r="B1117" s="2" t="s">
        <v>270</v>
      </c>
      <c r="C1117" s="3"/>
      <c r="D1117" s="3"/>
      <c r="E1117" s="3"/>
      <c r="F1117" s="3"/>
    </row>
    <row r="1118" spans="1:6" ht="28.2" thickBot="1" x14ac:dyDescent="0.3">
      <c r="A1118" s="4" t="s">
        <v>2</v>
      </c>
      <c r="B1118" s="5" t="s">
        <v>3</v>
      </c>
      <c r="C1118" s="5" t="s">
        <v>0</v>
      </c>
      <c r="D1118" s="5" t="s">
        <v>4</v>
      </c>
      <c r="E1118" s="5" t="s">
        <v>5</v>
      </c>
      <c r="F1118" s="6" t="s">
        <v>6</v>
      </c>
    </row>
    <row r="1119" spans="1:6" x14ac:dyDescent="0.25">
      <c r="A1119" s="7">
        <v>1</v>
      </c>
      <c r="B1119" s="8">
        <v>2</v>
      </c>
      <c r="C1119" s="8">
        <v>3</v>
      </c>
      <c r="D1119" s="8">
        <v>4</v>
      </c>
      <c r="E1119" s="8">
        <v>5</v>
      </c>
      <c r="F1119" s="9">
        <v>6</v>
      </c>
    </row>
    <row r="1120" spans="1:6" x14ac:dyDescent="0.25">
      <c r="A1120" s="10" t="s">
        <v>1</v>
      </c>
      <c r="B1120" s="11" t="s">
        <v>150</v>
      </c>
      <c r="C1120" s="12"/>
      <c r="D1120" s="12"/>
      <c r="E1120" s="12"/>
      <c r="F1120" s="13"/>
    </row>
    <row r="1121" spans="1:6" x14ac:dyDescent="0.25">
      <c r="A1121" s="14"/>
      <c r="B1121" s="15" t="s">
        <v>151</v>
      </c>
      <c r="C1121" s="16" t="s">
        <v>7</v>
      </c>
      <c r="D1121" s="17">
        <v>1</v>
      </c>
      <c r="E1121" s="18">
        <f>'HARGA BAHAN'!E4</f>
        <v>125000</v>
      </c>
      <c r="F1121" s="19">
        <f>+D1121*E1121</f>
        <v>125000</v>
      </c>
    </row>
    <row r="1122" spans="1:6" x14ac:dyDescent="0.25">
      <c r="A1122" s="14"/>
      <c r="B1122" s="20" t="s">
        <v>152</v>
      </c>
      <c r="C1122" s="21" t="s">
        <v>7</v>
      </c>
      <c r="D1122" s="22">
        <v>3</v>
      </c>
      <c r="E1122" s="23">
        <f>'HARGA BAHAN'!E5</f>
        <v>160000</v>
      </c>
      <c r="F1122" s="159">
        <f>+D1122*E1122</f>
        <v>480000</v>
      </c>
    </row>
    <row r="1123" spans="1:6" x14ac:dyDescent="0.25">
      <c r="A1123" s="14"/>
      <c r="B1123" s="15" t="s">
        <v>153</v>
      </c>
      <c r="C1123" s="16" t="s">
        <v>7</v>
      </c>
      <c r="D1123" s="17">
        <v>0.3</v>
      </c>
      <c r="E1123" s="23">
        <f>+E1038</f>
        <v>175000</v>
      </c>
      <c r="F1123" s="19">
        <f>+D1123*E1123</f>
        <v>52500</v>
      </c>
    </row>
    <row r="1124" spans="1:6" ht="14.4" thickBot="1" x14ac:dyDescent="0.3">
      <c r="A1124" s="24"/>
      <c r="B1124" s="25" t="s">
        <v>154</v>
      </c>
      <c r="C1124" s="26" t="s">
        <v>7</v>
      </c>
      <c r="D1124" s="27">
        <v>0.05</v>
      </c>
      <c r="E1124" s="23">
        <f>'HARGA BAHAN'!E7</f>
        <v>175000</v>
      </c>
      <c r="F1124" s="157">
        <f>+D1124*E1124</f>
        <v>8750</v>
      </c>
    </row>
    <row r="1125" spans="1:6" ht="14.4" thickBot="1" x14ac:dyDescent="0.3">
      <c r="A1125" s="28"/>
      <c r="B1125" s="29"/>
      <c r="C1125" s="30"/>
      <c r="D1125" s="31" t="s">
        <v>8</v>
      </c>
      <c r="E1125" s="32"/>
      <c r="F1125" s="33">
        <f>SUM(F1121:F1124)</f>
        <v>666250</v>
      </c>
    </row>
    <row r="1126" spans="1:6" x14ac:dyDescent="0.25">
      <c r="A1126" s="34" t="s">
        <v>9</v>
      </c>
      <c r="B1126" s="35" t="s">
        <v>155</v>
      </c>
      <c r="C1126" s="36"/>
      <c r="D1126" s="36"/>
      <c r="E1126" s="36"/>
      <c r="F1126" s="37"/>
    </row>
    <row r="1127" spans="1:6" x14ac:dyDescent="0.25">
      <c r="A1127" s="38"/>
      <c r="B1127" s="39" t="s">
        <v>268</v>
      </c>
      <c r="C1127" s="40" t="s">
        <v>159</v>
      </c>
      <c r="D1127" s="41">
        <v>0.04</v>
      </c>
      <c r="E1127" s="42">
        <f>'HARGA BAHAN'!E34</f>
        <v>7100000</v>
      </c>
      <c r="F1127" s="43">
        <f>+D1127*E1127</f>
        <v>284000</v>
      </c>
    </row>
    <row r="1128" spans="1:6" ht="14.4" thickBot="1" x14ac:dyDescent="0.3">
      <c r="A1128" s="14"/>
      <c r="B1128" s="15" t="s">
        <v>269</v>
      </c>
      <c r="C1128" s="16" t="s">
        <v>213</v>
      </c>
      <c r="D1128" s="17">
        <v>0.5</v>
      </c>
      <c r="E1128" s="18">
        <f>'HARGA BAHAN'!E97</f>
        <v>174000</v>
      </c>
      <c r="F1128" s="19">
        <f>+D1128*E1128</f>
        <v>87000</v>
      </c>
    </row>
    <row r="1129" spans="1:6" ht="14.4" thickBot="1" x14ac:dyDescent="0.3">
      <c r="A1129" s="28"/>
      <c r="B1129" s="44"/>
      <c r="C1129" s="44"/>
      <c r="D1129" s="45" t="s">
        <v>10</v>
      </c>
      <c r="E1129" s="44"/>
      <c r="F1129" s="33">
        <f>SUM(F1127:F1128)</f>
        <v>371000</v>
      </c>
    </row>
    <row r="1130" spans="1:6" x14ac:dyDescent="0.25">
      <c r="A1130" s="34" t="s">
        <v>11</v>
      </c>
      <c r="B1130" s="35" t="s">
        <v>160</v>
      </c>
      <c r="C1130" s="36"/>
      <c r="D1130" s="36"/>
      <c r="E1130" s="36"/>
      <c r="F1130" s="37"/>
    </row>
    <row r="1131" spans="1:6" ht="14.4" thickBot="1" x14ac:dyDescent="0.3">
      <c r="A1131" s="46"/>
      <c r="B1131" s="47"/>
      <c r="C1131" s="48"/>
      <c r="D1131" s="49"/>
      <c r="E1131" s="50"/>
      <c r="F1131" s="51"/>
    </row>
    <row r="1132" spans="1:6" ht="14.4" thickBot="1" x14ac:dyDescent="0.3">
      <c r="A1132" s="28"/>
      <c r="B1132" s="29"/>
      <c r="C1132" s="30"/>
      <c r="D1132" s="31" t="s">
        <v>12</v>
      </c>
      <c r="E1132" s="32"/>
      <c r="F1132" s="33">
        <f>SUM(F1131)</f>
        <v>0</v>
      </c>
    </row>
    <row r="1133" spans="1:6" x14ac:dyDescent="0.25">
      <c r="A1133" s="34" t="s">
        <v>13</v>
      </c>
      <c r="B1133" s="35" t="s">
        <v>14</v>
      </c>
      <c r="C1133" s="52"/>
      <c r="D1133" s="52"/>
      <c r="E1133" s="53"/>
      <c r="F1133" s="54">
        <f>+F1125+F1129+F1132</f>
        <v>1037250</v>
      </c>
    </row>
    <row r="1134" spans="1:6" x14ac:dyDescent="0.25">
      <c r="A1134" s="10" t="s">
        <v>15</v>
      </c>
      <c r="B1134" s="11" t="s">
        <v>51</v>
      </c>
      <c r="C1134" s="55"/>
      <c r="D1134" s="55"/>
      <c r="E1134" s="56"/>
      <c r="F1134" s="57">
        <f>F1133*0.15</f>
        <v>155587.5</v>
      </c>
    </row>
    <row r="1135" spans="1:6" ht="14.4" thickBot="1" x14ac:dyDescent="0.3">
      <c r="A1135" s="58" t="s">
        <v>16</v>
      </c>
      <c r="B1135" s="59" t="s">
        <v>17</v>
      </c>
      <c r="C1135" s="60"/>
      <c r="D1135" s="60"/>
      <c r="E1135" s="61"/>
      <c r="F1135" s="62">
        <f>SUM(F1133:F1134)</f>
        <v>1192837.5</v>
      </c>
    </row>
    <row r="1136" spans="1:6" x14ac:dyDescent="0.25">
      <c r="A1136" s="294"/>
      <c r="B1136" s="225"/>
      <c r="C1136" s="225"/>
      <c r="D1136" s="225"/>
      <c r="E1136" s="225"/>
      <c r="F1136" s="295"/>
    </row>
    <row r="1137" spans="1:9" ht="14.4" thickBot="1" x14ac:dyDescent="0.3">
      <c r="A1137" s="224" t="s">
        <v>237</v>
      </c>
      <c r="B1137" s="225" t="s">
        <v>238</v>
      </c>
      <c r="C1137" s="226"/>
      <c r="D1137" s="226"/>
      <c r="E1137" s="226"/>
      <c r="F1137" s="226"/>
    </row>
    <row r="1138" spans="1:9" ht="28.2" thickBot="1" x14ac:dyDescent="0.3">
      <c r="A1138" s="227" t="s">
        <v>2</v>
      </c>
      <c r="B1138" s="228" t="s">
        <v>3</v>
      </c>
      <c r="C1138" s="228" t="s">
        <v>0</v>
      </c>
      <c r="D1138" s="228" t="s">
        <v>4</v>
      </c>
      <c r="E1138" s="228" t="s">
        <v>5</v>
      </c>
      <c r="F1138" s="229" t="s">
        <v>6</v>
      </c>
    </row>
    <row r="1139" spans="1:9" x14ac:dyDescent="0.25">
      <c r="A1139" s="230">
        <v>1</v>
      </c>
      <c r="B1139" s="231">
        <v>2</v>
      </c>
      <c r="C1139" s="231">
        <v>3</v>
      </c>
      <c r="D1139" s="231">
        <v>4</v>
      </c>
      <c r="E1139" s="231">
        <v>5</v>
      </c>
      <c r="F1139" s="232">
        <v>6</v>
      </c>
    </row>
    <row r="1140" spans="1:9" x14ac:dyDescent="0.25">
      <c r="A1140" s="233" t="s">
        <v>1</v>
      </c>
      <c r="B1140" s="234" t="s">
        <v>150</v>
      </c>
      <c r="C1140" s="235"/>
      <c r="D1140" s="235"/>
      <c r="E1140" s="235"/>
      <c r="F1140" s="236"/>
    </row>
    <row r="1141" spans="1:9" x14ac:dyDescent="0.25">
      <c r="A1141" s="237"/>
      <c r="B1141" s="238" t="s">
        <v>151</v>
      </c>
      <c r="C1141" s="239" t="s">
        <v>7</v>
      </c>
      <c r="D1141" s="240">
        <v>0.7</v>
      </c>
      <c r="E1141" s="241">
        <f>'HARGA BAHAN'!E4</f>
        <v>125000</v>
      </c>
      <c r="F1141" s="242">
        <f t="shared" ref="F1141" si="22">+D1141*E1141</f>
        <v>87500</v>
      </c>
    </row>
    <row r="1142" spans="1:9" x14ac:dyDescent="0.25">
      <c r="A1142" s="237"/>
      <c r="B1142" s="243" t="s">
        <v>152</v>
      </c>
      <c r="C1142" s="244" t="s">
        <v>7</v>
      </c>
      <c r="D1142" s="245">
        <v>2.1</v>
      </c>
      <c r="E1142" s="241">
        <f>'HARGA BAHAN'!E5</f>
        <v>160000</v>
      </c>
      <c r="F1142" s="394">
        <f>+D1142*E1142</f>
        <v>336000</v>
      </c>
    </row>
    <row r="1143" spans="1:9" x14ac:dyDescent="0.25">
      <c r="A1143" s="237"/>
      <c r="B1143" s="238" t="s">
        <v>153</v>
      </c>
      <c r="C1143" s="239" t="s">
        <v>7</v>
      </c>
      <c r="D1143" s="240">
        <v>0.21</v>
      </c>
      <c r="E1143" s="241">
        <f>'HARGA BAHAN'!E6</f>
        <v>180000</v>
      </c>
      <c r="F1143" s="242">
        <f t="shared" ref="F1143:F1144" si="23">+D1143*E1143</f>
        <v>37800</v>
      </c>
    </row>
    <row r="1144" spans="1:9" ht="14.4" thickBot="1" x14ac:dyDescent="0.3">
      <c r="A1144" s="246"/>
      <c r="B1144" s="247" t="s">
        <v>154</v>
      </c>
      <c r="C1144" s="248" t="s">
        <v>7</v>
      </c>
      <c r="D1144" s="395">
        <v>3.5000000000000003E-2</v>
      </c>
      <c r="E1144" s="241">
        <f>'HARGA BAHAN'!E7</f>
        <v>175000</v>
      </c>
      <c r="F1144" s="396">
        <f t="shared" si="23"/>
        <v>6125.0000000000009</v>
      </c>
    </row>
    <row r="1145" spans="1:9" ht="14.4" thickBot="1" x14ac:dyDescent="0.3">
      <c r="A1145" s="250"/>
      <c r="B1145" s="251"/>
      <c r="C1145" s="252"/>
      <c r="D1145" s="253" t="s">
        <v>8</v>
      </c>
      <c r="E1145" s="254"/>
      <c r="F1145" s="255">
        <f>SUM(F1141:F1144)</f>
        <v>467425</v>
      </c>
    </row>
    <row r="1146" spans="1:9" x14ac:dyDescent="0.25">
      <c r="A1146" s="256" t="s">
        <v>9</v>
      </c>
      <c r="B1146" s="257" t="s">
        <v>155</v>
      </c>
      <c r="C1146" s="258"/>
      <c r="D1146" s="258"/>
      <c r="E1146" s="258"/>
      <c r="F1146" s="259"/>
    </row>
    <row r="1147" spans="1:9" x14ac:dyDescent="0.25">
      <c r="A1147" s="260"/>
      <c r="B1147" s="261" t="s">
        <v>239</v>
      </c>
      <c r="C1147" s="262" t="s">
        <v>240</v>
      </c>
      <c r="D1147" s="263">
        <v>2.8000000000000001E-2</v>
      </c>
      <c r="E1147" s="264">
        <f>'HARGA BAHAN'!E34</f>
        <v>7100000</v>
      </c>
      <c r="F1147" s="397">
        <f t="shared" ref="F1147:F1151" si="24">+D1147*E1147</f>
        <v>198800</v>
      </c>
    </row>
    <row r="1148" spans="1:9" x14ac:dyDescent="0.25">
      <c r="A1148" s="237"/>
      <c r="B1148" s="238" t="s">
        <v>241</v>
      </c>
      <c r="C1148" s="239" t="s">
        <v>21</v>
      </c>
      <c r="D1148" s="240">
        <v>0.03</v>
      </c>
      <c r="E1148" s="241">
        <f>'HARGA BAHAN'!E28</f>
        <v>25500</v>
      </c>
      <c r="F1148" s="242">
        <f t="shared" si="24"/>
        <v>765</v>
      </c>
    </row>
    <row r="1149" spans="1:9" x14ac:dyDescent="0.25">
      <c r="A1149" s="237"/>
      <c r="B1149" s="238" t="s">
        <v>242</v>
      </c>
      <c r="C1149" s="239" t="s">
        <v>21</v>
      </c>
      <c r="D1149" s="240">
        <v>0.5</v>
      </c>
      <c r="E1149" s="241">
        <f>'HARGA BAHAN'!E97</f>
        <v>174000</v>
      </c>
      <c r="F1149" s="242">
        <f t="shared" si="24"/>
        <v>87000</v>
      </c>
    </row>
    <row r="1150" spans="1:9" x14ac:dyDescent="0.25">
      <c r="A1150" s="246"/>
      <c r="B1150" s="247" t="s">
        <v>243</v>
      </c>
      <c r="C1150" s="248" t="s">
        <v>53</v>
      </c>
      <c r="D1150" s="249">
        <v>0.86</v>
      </c>
      <c r="E1150" s="398">
        <f>'HARGA BAHAN'!E36</f>
        <v>242800</v>
      </c>
      <c r="F1150" s="242">
        <f t="shared" si="24"/>
        <v>208808</v>
      </c>
      <c r="I1150" s="1">
        <f>2.4*1.2</f>
        <v>2.88</v>
      </c>
    </row>
    <row r="1151" spans="1:9" ht="14.4" thickBot="1" x14ac:dyDescent="0.3">
      <c r="A1151" s="270"/>
      <c r="B1151" s="271" t="s">
        <v>244</v>
      </c>
      <c r="C1151" s="272" t="s">
        <v>53</v>
      </c>
      <c r="D1151" s="399">
        <v>1.2</v>
      </c>
      <c r="E1151" s="274">
        <f>'HARGA BAHAN'!E37</f>
        <v>616000</v>
      </c>
      <c r="F1151" s="242">
        <f t="shared" si="24"/>
        <v>739200</v>
      </c>
      <c r="I1151" s="487">
        <f>I1150*D1150</f>
        <v>2.4767999999999999</v>
      </c>
    </row>
    <row r="1152" spans="1:9" ht="14.4" thickBot="1" x14ac:dyDescent="0.3">
      <c r="A1152" s="250"/>
      <c r="B1152" s="275"/>
      <c r="C1152" s="275"/>
      <c r="D1152" s="276" t="s">
        <v>10</v>
      </c>
      <c r="E1152" s="275"/>
      <c r="F1152" s="255">
        <f>SUM(F1147:F1151)</f>
        <v>1234573</v>
      </c>
    </row>
    <row r="1153" spans="1:6" x14ac:dyDescent="0.25">
      <c r="A1153" s="256" t="s">
        <v>11</v>
      </c>
      <c r="B1153" s="257" t="s">
        <v>160</v>
      </c>
      <c r="C1153" s="258"/>
      <c r="D1153" s="258"/>
      <c r="E1153" s="258"/>
      <c r="F1153" s="259"/>
    </row>
    <row r="1154" spans="1:6" ht="14.4" thickBot="1" x14ac:dyDescent="0.3">
      <c r="A1154" s="277"/>
      <c r="B1154" s="278"/>
      <c r="C1154" s="279"/>
      <c r="D1154" s="280"/>
      <c r="E1154" s="281"/>
      <c r="F1154" s="282"/>
    </row>
    <row r="1155" spans="1:6" ht="14.4" thickBot="1" x14ac:dyDescent="0.3">
      <c r="A1155" s="250"/>
      <c r="B1155" s="251"/>
      <c r="C1155" s="252"/>
      <c r="D1155" s="253" t="s">
        <v>12</v>
      </c>
      <c r="E1155" s="254"/>
      <c r="F1155" s="255">
        <f>SUM(F1154)</f>
        <v>0</v>
      </c>
    </row>
    <row r="1156" spans="1:6" x14ac:dyDescent="0.25">
      <c r="A1156" s="256" t="s">
        <v>13</v>
      </c>
      <c r="B1156" s="257" t="s">
        <v>14</v>
      </c>
      <c r="C1156" s="283"/>
      <c r="D1156" s="283"/>
      <c r="E1156" s="284"/>
      <c r="F1156" s="285">
        <f>+F1145+F1152+F1155</f>
        <v>1701998</v>
      </c>
    </row>
    <row r="1157" spans="1:6" x14ac:dyDescent="0.25">
      <c r="A1157" s="233" t="s">
        <v>15</v>
      </c>
      <c r="B1157" s="234" t="s">
        <v>51</v>
      </c>
      <c r="C1157" s="286"/>
      <c r="D1157" s="286"/>
      <c r="E1157" s="287"/>
      <c r="F1157" s="288">
        <f>F1156*15%</f>
        <v>255299.69999999998</v>
      </c>
    </row>
    <row r="1158" spans="1:6" ht="14.4" thickBot="1" x14ac:dyDescent="0.3">
      <c r="A1158" s="289" t="s">
        <v>16</v>
      </c>
      <c r="B1158" s="290" t="s">
        <v>17</v>
      </c>
      <c r="C1158" s="291"/>
      <c r="D1158" s="291"/>
      <c r="E1158" s="292"/>
      <c r="F1158" s="293">
        <f>SUM(F1156:F1157)</f>
        <v>1957297.7</v>
      </c>
    </row>
    <row r="1159" spans="1:6" x14ac:dyDescent="0.25">
      <c r="A1159" s="294"/>
      <c r="B1159" s="225"/>
      <c r="C1159" s="225"/>
      <c r="D1159" s="225"/>
      <c r="E1159" s="225"/>
      <c r="F1159" s="295"/>
    </row>
    <row r="1160" spans="1:6" ht="14.4" thickBot="1" x14ac:dyDescent="0.3">
      <c r="A1160" s="296" t="s">
        <v>249</v>
      </c>
      <c r="B1160" s="297" t="s">
        <v>250</v>
      </c>
      <c r="C1160" s="298"/>
      <c r="D1160" s="298"/>
      <c r="E1160" s="298"/>
      <c r="F1160" s="298"/>
    </row>
    <row r="1161" spans="1:6" ht="28.2" thickBot="1" x14ac:dyDescent="0.3">
      <c r="A1161" s="299" t="s">
        <v>2</v>
      </c>
      <c r="B1161" s="300" t="s">
        <v>3</v>
      </c>
      <c r="C1161" s="300" t="s">
        <v>0</v>
      </c>
      <c r="D1161" s="300" t="s">
        <v>4</v>
      </c>
      <c r="E1161" s="300" t="s">
        <v>5</v>
      </c>
      <c r="F1161" s="301" t="s">
        <v>6</v>
      </c>
    </row>
    <row r="1162" spans="1:6" x14ac:dyDescent="0.25">
      <c r="A1162" s="302">
        <v>1</v>
      </c>
      <c r="B1162" s="303">
        <v>2</v>
      </c>
      <c r="C1162" s="303">
        <v>3</v>
      </c>
      <c r="D1162" s="303">
        <v>4</v>
      </c>
      <c r="E1162" s="303">
        <v>5</v>
      </c>
      <c r="F1162" s="304">
        <v>6</v>
      </c>
    </row>
    <row r="1163" spans="1:6" x14ac:dyDescent="0.25">
      <c r="A1163" s="305" t="s">
        <v>1</v>
      </c>
      <c r="B1163" s="306" t="s">
        <v>150</v>
      </c>
      <c r="C1163" s="307"/>
      <c r="D1163" s="307"/>
      <c r="E1163" s="307"/>
      <c r="F1163" s="308"/>
    </row>
    <row r="1164" spans="1:6" x14ac:dyDescent="0.25">
      <c r="A1164" s="309"/>
      <c r="B1164" s="310" t="s">
        <v>151</v>
      </c>
      <c r="C1164" s="311" t="s">
        <v>7</v>
      </c>
      <c r="D1164" s="312">
        <v>0.2</v>
      </c>
      <c r="E1164" s="313">
        <f>'HARGA BAHAN'!E4</f>
        <v>125000</v>
      </c>
      <c r="F1164" s="314">
        <f t="shared" ref="F1164" si="25">+D1164*E1164</f>
        <v>25000</v>
      </c>
    </row>
    <row r="1165" spans="1:6" x14ac:dyDescent="0.25">
      <c r="A1165" s="309"/>
      <c r="B1165" s="315" t="s">
        <v>152</v>
      </c>
      <c r="C1165" s="316" t="s">
        <v>7</v>
      </c>
      <c r="D1165" s="317">
        <v>0.6</v>
      </c>
      <c r="E1165" s="313">
        <f>'HARGA BAHAN'!E5</f>
        <v>160000</v>
      </c>
      <c r="F1165" s="400">
        <f>+D1165*E1165</f>
        <v>96000</v>
      </c>
    </row>
    <row r="1166" spans="1:6" x14ac:dyDescent="0.25">
      <c r="A1166" s="309"/>
      <c r="B1166" s="310" t="s">
        <v>153</v>
      </c>
      <c r="C1166" s="311" t="s">
        <v>7</v>
      </c>
      <c r="D1166" s="312">
        <v>0.06</v>
      </c>
      <c r="E1166" s="313">
        <f>'HARGA BAHAN'!E6</f>
        <v>180000</v>
      </c>
      <c r="F1166" s="314">
        <f t="shared" ref="F1166:F1167" si="26">+D1166*E1166</f>
        <v>10800</v>
      </c>
    </row>
    <row r="1167" spans="1:6" ht="14.4" thickBot="1" x14ac:dyDescent="0.3">
      <c r="A1167" s="318"/>
      <c r="B1167" s="319" t="s">
        <v>154</v>
      </c>
      <c r="C1167" s="320" t="s">
        <v>7</v>
      </c>
      <c r="D1167" s="401">
        <v>0.01</v>
      </c>
      <c r="E1167" s="313">
        <f>'HARGA BAHAN'!E7</f>
        <v>175000</v>
      </c>
      <c r="F1167" s="402">
        <f t="shared" si="26"/>
        <v>1750</v>
      </c>
    </row>
    <row r="1168" spans="1:6" ht="14.4" thickBot="1" x14ac:dyDescent="0.3">
      <c r="A1168" s="322"/>
      <c r="B1168" s="323"/>
      <c r="C1168" s="324"/>
      <c r="D1168" s="325" t="s">
        <v>8</v>
      </c>
      <c r="E1168" s="326"/>
      <c r="F1168" s="327">
        <f>SUM(F1164:F1167)</f>
        <v>133550</v>
      </c>
    </row>
    <row r="1169" spans="1:6" x14ac:dyDescent="0.25">
      <c r="A1169" s="328" t="s">
        <v>9</v>
      </c>
      <c r="B1169" s="329" t="s">
        <v>155</v>
      </c>
      <c r="C1169" s="330"/>
      <c r="D1169" s="330"/>
      <c r="E1169" s="330"/>
      <c r="F1169" s="331"/>
    </row>
    <row r="1170" spans="1:6" x14ac:dyDescent="0.25">
      <c r="A1170" s="332"/>
      <c r="B1170" s="333" t="s">
        <v>239</v>
      </c>
      <c r="C1170" s="334" t="s">
        <v>240</v>
      </c>
      <c r="D1170" s="335">
        <v>2.8000000000000001E-2</v>
      </c>
      <c r="E1170" s="336">
        <f>'HARGA BAHAN'!E34</f>
        <v>7100000</v>
      </c>
      <c r="F1170" s="403">
        <f t="shared" ref="F1170:F1174" si="27">+D1170*E1170</f>
        <v>198800</v>
      </c>
    </row>
    <row r="1171" spans="1:6" x14ac:dyDescent="0.25">
      <c r="A1171" s="309"/>
      <c r="B1171" s="310" t="s">
        <v>241</v>
      </c>
      <c r="C1171" s="311" t="s">
        <v>21</v>
      </c>
      <c r="D1171" s="312">
        <v>0.15</v>
      </c>
      <c r="E1171" s="313">
        <f>'HARGA BAHAN'!E28</f>
        <v>25500</v>
      </c>
      <c r="F1171" s="314">
        <f t="shared" si="27"/>
        <v>3825</v>
      </c>
    </row>
    <row r="1172" spans="1:6" x14ac:dyDescent="0.25">
      <c r="A1172" s="309"/>
      <c r="B1172" s="310" t="s">
        <v>242</v>
      </c>
      <c r="C1172" s="311" t="s">
        <v>21</v>
      </c>
      <c r="D1172" s="312">
        <v>0.56000000000000005</v>
      </c>
      <c r="E1172" s="313">
        <f>'HARGA BAHAN'!E97</f>
        <v>174000</v>
      </c>
      <c r="F1172" s="314">
        <f t="shared" si="27"/>
        <v>97440.000000000015</v>
      </c>
    </row>
    <row r="1173" spans="1:6" x14ac:dyDescent="0.25">
      <c r="A1173" s="318"/>
      <c r="B1173" s="310" t="s">
        <v>243</v>
      </c>
      <c r="C1173" s="311" t="s">
        <v>53</v>
      </c>
      <c r="D1173" s="312">
        <v>0.86</v>
      </c>
      <c r="E1173" s="313">
        <f>'HARGA BAHAN'!E36</f>
        <v>242800</v>
      </c>
      <c r="F1173" s="314">
        <f t="shared" si="27"/>
        <v>208808</v>
      </c>
    </row>
    <row r="1174" spans="1:6" ht="14.4" thickBot="1" x14ac:dyDescent="0.3">
      <c r="A1174" s="342"/>
      <c r="B1174" s="343" t="s">
        <v>244</v>
      </c>
      <c r="C1174" s="344" t="s">
        <v>53</v>
      </c>
      <c r="D1174" s="404">
        <v>1.2</v>
      </c>
      <c r="E1174" s="346">
        <f>'HARGA BAHAN'!E37</f>
        <v>616000</v>
      </c>
      <c r="F1174" s="405">
        <f t="shared" si="27"/>
        <v>739200</v>
      </c>
    </row>
    <row r="1175" spans="1:6" ht="14.4" thickBot="1" x14ac:dyDescent="0.3">
      <c r="A1175" s="322"/>
      <c r="B1175" s="347"/>
      <c r="C1175" s="347"/>
      <c r="D1175" s="348" t="s">
        <v>10</v>
      </c>
      <c r="E1175" s="347"/>
      <c r="F1175" s="327">
        <f>SUM(F1170:F1174)</f>
        <v>1248073</v>
      </c>
    </row>
    <row r="1176" spans="1:6" x14ac:dyDescent="0.25">
      <c r="A1176" s="328" t="s">
        <v>11</v>
      </c>
      <c r="B1176" s="329" t="s">
        <v>160</v>
      </c>
      <c r="C1176" s="330"/>
      <c r="D1176" s="330"/>
      <c r="E1176" s="330"/>
      <c r="F1176" s="331"/>
    </row>
    <row r="1177" spans="1:6" ht="14.4" thickBot="1" x14ac:dyDescent="0.3">
      <c r="A1177" s="349"/>
      <c r="B1177" s="350"/>
      <c r="C1177" s="351"/>
      <c r="D1177" s="352"/>
      <c r="E1177" s="353"/>
      <c r="F1177" s="354"/>
    </row>
    <row r="1178" spans="1:6" ht="14.4" thickBot="1" x14ac:dyDescent="0.3">
      <c r="A1178" s="322"/>
      <c r="B1178" s="323"/>
      <c r="C1178" s="324"/>
      <c r="D1178" s="325" t="s">
        <v>12</v>
      </c>
      <c r="E1178" s="326"/>
      <c r="F1178" s="327">
        <f>SUM(F1177)</f>
        <v>0</v>
      </c>
    </row>
    <row r="1179" spans="1:6" x14ac:dyDescent="0.25">
      <c r="A1179" s="328" t="s">
        <v>13</v>
      </c>
      <c r="B1179" s="329" t="s">
        <v>14</v>
      </c>
      <c r="C1179" s="355"/>
      <c r="D1179" s="355"/>
      <c r="E1179" s="356"/>
      <c r="F1179" s="357">
        <f>+F1168+F1175+F1178</f>
        <v>1381623</v>
      </c>
    </row>
    <row r="1180" spans="1:6" x14ac:dyDescent="0.25">
      <c r="A1180" s="305" t="s">
        <v>15</v>
      </c>
      <c r="B1180" s="306" t="s">
        <v>51</v>
      </c>
      <c r="C1180" s="358"/>
      <c r="D1180" s="358"/>
      <c r="E1180" s="359"/>
      <c r="F1180" s="360">
        <f>F1179*15%</f>
        <v>207243.44999999998</v>
      </c>
    </row>
    <row r="1181" spans="1:6" ht="14.4" thickBot="1" x14ac:dyDescent="0.3">
      <c r="A1181" s="361" t="s">
        <v>16</v>
      </c>
      <c r="B1181" s="362" t="s">
        <v>17</v>
      </c>
      <c r="C1181" s="363"/>
      <c r="D1181" s="363"/>
      <c r="E1181" s="364"/>
      <c r="F1181" s="365">
        <f>SUM(F1179:F1180)</f>
        <v>1588866.45</v>
      </c>
    </row>
    <row r="1182" spans="1:6" x14ac:dyDescent="0.25">
      <c r="A1182" s="294"/>
      <c r="B1182" s="225"/>
      <c r="C1182" s="225"/>
      <c r="D1182" s="225"/>
      <c r="E1182" s="225"/>
      <c r="F1182" s="295"/>
    </row>
    <row r="1183" spans="1:6" ht="14.4" thickBot="1" x14ac:dyDescent="0.3">
      <c r="A1183" s="71" t="s">
        <v>275</v>
      </c>
      <c r="B1183" s="2" t="s">
        <v>276</v>
      </c>
      <c r="C1183" s="3"/>
      <c r="D1183" s="3"/>
      <c r="E1183" s="3"/>
      <c r="F1183" s="3"/>
    </row>
    <row r="1184" spans="1:6" ht="28.2" thickBot="1" x14ac:dyDescent="0.3">
      <c r="A1184" s="4" t="s">
        <v>2</v>
      </c>
      <c r="B1184" s="5" t="s">
        <v>3</v>
      </c>
      <c r="C1184" s="5" t="s">
        <v>0</v>
      </c>
      <c r="D1184" s="5" t="s">
        <v>4</v>
      </c>
      <c r="E1184" s="5" t="s">
        <v>5</v>
      </c>
      <c r="F1184" s="6" t="s">
        <v>6</v>
      </c>
    </row>
    <row r="1185" spans="1:6" x14ac:dyDescent="0.25">
      <c r="A1185" s="7">
        <v>1</v>
      </c>
      <c r="B1185" s="8">
        <v>2</v>
      </c>
      <c r="C1185" s="8">
        <v>3</v>
      </c>
      <c r="D1185" s="8">
        <v>4</v>
      </c>
      <c r="E1185" s="8">
        <v>5</v>
      </c>
      <c r="F1185" s="9">
        <v>6</v>
      </c>
    </row>
    <row r="1186" spans="1:6" x14ac:dyDescent="0.25">
      <c r="A1186" s="10" t="s">
        <v>1</v>
      </c>
      <c r="B1186" s="11" t="s">
        <v>150</v>
      </c>
      <c r="C1186" s="12"/>
      <c r="D1186" s="12"/>
      <c r="E1186" s="12"/>
      <c r="F1186" s="13"/>
    </row>
    <row r="1187" spans="1:6" x14ac:dyDescent="0.25">
      <c r="A1187" s="14"/>
      <c r="B1187" s="15" t="s">
        <v>151</v>
      </c>
      <c r="C1187" s="16" t="s">
        <v>7</v>
      </c>
      <c r="D1187" s="17">
        <v>0.01</v>
      </c>
      <c r="E1187" s="18">
        <f>'HARGA BAHAN'!E4</f>
        <v>125000</v>
      </c>
      <c r="F1187" s="19">
        <f>+D1187*E1187</f>
        <v>1250</v>
      </c>
    </row>
    <row r="1188" spans="1:6" x14ac:dyDescent="0.25">
      <c r="A1188" s="14"/>
      <c r="B1188" s="20" t="s">
        <v>152</v>
      </c>
      <c r="C1188" s="21" t="s">
        <v>7</v>
      </c>
      <c r="D1188" s="22">
        <v>0.5</v>
      </c>
      <c r="E1188" s="23">
        <f>'HARGA BAHAN'!E5</f>
        <v>160000</v>
      </c>
      <c r="F1188" s="159">
        <f>+D1188*E1188</f>
        <v>80000</v>
      </c>
    </row>
    <row r="1189" spans="1:6" x14ac:dyDescent="0.25">
      <c r="A1189" s="14"/>
      <c r="B1189" s="15" t="s">
        <v>153</v>
      </c>
      <c r="C1189" s="16" t="s">
        <v>7</v>
      </c>
      <c r="D1189" s="17">
        <v>0.05</v>
      </c>
      <c r="E1189" s="23">
        <f>'HARGA BAHAN'!E6</f>
        <v>180000</v>
      </c>
      <c r="F1189" s="19">
        <f>+D1189*E1189</f>
        <v>9000</v>
      </c>
    </row>
    <row r="1190" spans="1:6" ht="14.4" thickBot="1" x14ac:dyDescent="0.3">
      <c r="A1190" s="24"/>
      <c r="B1190" s="25" t="s">
        <v>154</v>
      </c>
      <c r="C1190" s="26" t="s">
        <v>7</v>
      </c>
      <c r="D1190" s="27">
        <v>5.0000000000000001E-3</v>
      </c>
      <c r="E1190" s="23">
        <f>'HARGA BAHAN'!E7</f>
        <v>175000</v>
      </c>
      <c r="F1190" s="157">
        <f>+D1190*E1190</f>
        <v>875</v>
      </c>
    </row>
    <row r="1191" spans="1:6" ht="14.4" thickBot="1" x14ac:dyDescent="0.3">
      <c r="A1191" s="28"/>
      <c r="B1191" s="29"/>
      <c r="C1191" s="30"/>
      <c r="D1191" s="31" t="s">
        <v>8</v>
      </c>
      <c r="E1191" s="32"/>
      <c r="F1191" s="33">
        <f>SUM(F1187:F1190)</f>
        <v>91125</v>
      </c>
    </row>
    <row r="1192" spans="1:6" x14ac:dyDescent="0.25">
      <c r="A1192" s="34" t="s">
        <v>9</v>
      </c>
      <c r="B1192" s="35" t="s">
        <v>155</v>
      </c>
      <c r="C1192" s="36"/>
      <c r="D1192" s="36"/>
      <c r="E1192" s="36"/>
      <c r="F1192" s="37"/>
    </row>
    <row r="1193" spans="1:6" x14ac:dyDescent="0.25">
      <c r="A1193" s="38"/>
      <c r="B1193" s="39" t="s">
        <v>280</v>
      </c>
      <c r="C1193" s="40" t="s">
        <v>159</v>
      </c>
      <c r="D1193" s="41">
        <v>1</v>
      </c>
      <c r="E1193" s="42">
        <f>'HARGA BAHAN'!E140</f>
        <v>200000</v>
      </c>
      <c r="F1193" s="43">
        <f>+D1193*E1193</f>
        <v>200000</v>
      </c>
    </row>
    <row r="1194" spans="1:6" ht="14.4" thickBot="1" x14ac:dyDescent="0.3">
      <c r="A1194" s="63"/>
      <c r="B1194" s="64"/>
      <c r="C1194" s="65"/>
      <c r="D1194" s="66"/>
      <c r="E1194" s="67"/>
      <c r="F1194" s="416"/>
    </row>
    <row r="1195" spans="1:6" ht="14.4" thickBot="1" x14ac:dyDescent="0.3">
      <c r="A1195" s="28"/>
      <c r="B1195" s="44"/>
      <c r="C1195" s="44"/>
      <c r="D1195" s="45" t="s">
        <v>10</v>
      </c>
      <c r="E1195" s="44"/>
      <c r="F1195" s="33">
        <f>SUM(F1193:F1194)</f>
        <v>200000</v>
      </c>
    </row>
    <row r="1196" spans="1:6" ht="14.4" thickBot="1" x14ac:dyDescent="0.3">
      <c r="A1196" s="34" t="s">
        <v>11</v>
      </c>
      <c r="B1196" s="35" t="s">
        <v>160</v>
      </c>
      <c r="C1196" s="36"/>
      <c r="D1196" s="36"/>
      <c r="E1196" s="36"/>
      <c r="F1196" s="37"/>
    </row>
    <row r="1197" spans="1:6" ht="14.4" thickBot="1" x14ac:dyDescent="0.3">
      <c r="A1197" s="28"/>
      <c r="B1197" s="29"/>
      <c r="C1197" s="30"/>
      <c r="D1197" s="31" t="s">
        <v>12</v>
      </c>
      <c r="E1197" s="32"/>
      <c r="F1197" s="33">
        <v>0</v>
      </c>
    </row>
    <row r="1198" spans="1:6" x14ac:dyDescent="0.25">
      <c r="A1198" s="34" t="s">
        <v>13</v>
      </c>
      <c r="B1198" s="35" t="s">
        <v>14</v>
      </c>
      <c r="C1198" s="52"/>
      <c r="D1198" s="52"/>
      <c r="E1198" s="53"/>
      <c r="F1198" s="54">
        <f>+F1191+F1195+F1197</f>
        <v>291125</v>
      </c>
    </row>
    <row r="1199" spans="1:6" x14ac:dyDescent="0.25">
      <c r="A1199" s="10" t="s">
        <v>15</v>
      </c>
      <c r="B1199" s="11" t="s">
        <v>51</v>
      </c>
      <c r="C1199" s="55"/>
      <c r="D1199" s="55"/>
      <c r="E1199" s="56"/>
      <c r="F1199" s="57">
        <f>F1198*0.15</f>
        <v>43668.75</v>
      </c>
    </row>
    <row r="1200" spans="1:6" ht="14.4" thickBot="1" x14ac:dyDescent="0.3">
      <c r="A1200" s="58" t="s">
        <v>16</v>
      </c>
      <c r="B1200" s="59" t="s">
        <v>17</v>
      </c>
      <c r="C1200" s="60"/>
      <c r="D1200" s="60"/>
      <c r="E1200" s="61"/>
      <c r="F1200" s="62">
        <f>SUM(F1198:F1199)</f>
        <v>334793.75</v>
      </c>
    </row>
    <row r="1201" spans="1:6" x14ac:dyDescent="0.25">
      <c r="A1201" s="294"/>
      <c r="B1201" s="225"/>
      <c r="C1201" s="225"/>
      <c r="D1201" s="225"/>
      <c r="E1201" s="225"/>
      <c r="F1201" s="295"/>
    </row>
    <row r="1202" spans="1:6" ht="14.4" thickBot="1" x14ac:dyDescent="0.3">
      <c r="A1202" s="160" t="s">
        <v>281</v>
      </c>
      <c r="B1202" s="161" t="s">
        <v>282</v>
      </c>
      <c r="C1202" s="162"/>
      <c r="D1202" s="162"/>
      <c r="E1202" s="162"/>
      <c r="F1202" s="162"/>
    </row>
    <row r="1203" spans="1:6" ht="28.2" thickBot="1" x14ac:dyDescent="0.3">
      <c r="A1203" s="163" t="s">
        <v>2</v>
      </c>
      <c r="B1203" s="164" t="s">
        <v>3</v>
      </c>
      <c r="C1203" s="164" t="s">
        <v>0</v>
      </c>
      <c r="D1203" s="164" t="s">
        <v>4</v>
      </c>
      <c r="E1203" s="164" t="s">
        <v>5</v>
      </c>
      <c r="F1203" s="165" t="s">
        <v>6</v>
      </c>
    </row>
    <row r="1204" spans="1:6" x14ac:dyDescent="0.25">
      <c r="A1204" s="166">
        <v>1</v>
      </c>
      <c r="B1204" s="167">
        <v>2</v>
      </c>
      <c r="C1204" s="167">
        <v>3</v>
      </c>
      <c r="D1204" s="167">
        <v>4</v>
      </c>
      <c r="E1204" s="167">
        <v>5</v>
      </c>
      <c r="F1204" s="168">
        <v>6</v>
      </c>
    </row>
    <row r="1205" spans="1:6" x14ac:dyDescent="0.25">
      <c r="A1205" s="169" t="s">
        <v>1</v>
      </c>
      <c r="B1205" s="170" t="s">
        <v>150</v>
      </c>
      <c r="C1205" s="171"/>
      <c r="D1205" s="171"/>
      <c r="E1205" s="171"/>
      <c r="F1205" s="172"/>
    </row>
    <row r="1206" spans="1:6" x14ac:dyDescent="0.25">
      <c r="A1206" s="173"/>
      <c r="B1206" s="174" t="s">
        <v>151</v>
      </c>
      <c r="C1206" s="175" t="s">
        <v>7</v>
      </c>
      <c r="D1206" s="176">
        <v>0.01</v>
      </c>
      <c r="E1206" s="177">
        <f>'HARGA BAHAN'!E4</f>
        <v>125000</v>
      </c>
      <c r="F1206" s="178">
        <f>+D1206*E1206</f>
        <v>1250</v>
      </c>
    </row>
    <row r="1207" spans="1:6" x14ac:dyDescent="0.25">
      <c r="A1207" s="173"/>
      <c r="B1207" s="179" t="s">
        <v>152</v>
      </c>
      <c r="C1207" s="180" t="s">
        <v>7</v>
      </c>
      <c r="D1207" s="181">
        <v>0.5</v>
      </c>
      <c r="E1207" s="204">
        <f>'HARGA BAHAN'!E5</f>
        <v>160000</v>
      </c>
      <c r="F1207" s="423">
        <f>+D1207*E1207</f>
        <v>80000</v>
      </c>
    </row>
    <row r="1208" spans="1:6" x14ac:dyDescent="0.25">
      <c r="A1208" s="173"/>
      <c r="B1208" s="174" t="s">
        <v>153</v>
      </c>
      <c r="C1208" s="175" t="s">
        <v>7</v>
      </c>
      <c r="D1208" s="176">
        <v>0.05</v>
      </c>
      <c r="E1208" s="204">
        <f>'HARGA BAHAN'!E6</f>
        <v>180000</v>
      </c>
      <c r="F1208" s="178">
        <f>+D1208*E1208</f>
        <v>9000</v>
      </c>
    </row>
    <row r="1209" spans="1:6" ht="14.4" thickBot="1" x14ac:dyDescent="0.3">
      <c r="A1209" s="182"/>
      <c r="B1209" s="183" t="s">
        <v>154</v>
      </c>
      <c r="C1209" s="184" t="s">
        <v>7</v>
      </c>
      <c r="D1209" s="185">
        <v>5.0000000000000001E-3</v>
      </c>
      <c r="E1209" s="204">
        <f>'HARGA BAHAN'!E7</f>
        <v>175000</v>
      </c>
      <c r="F1209" s="424">
        <f>+D1209*E1209</f>
        <v>875</v>
      </c>
    </row>
    <row r="1210" spans="1:6" ht="14.4" thickBot="1" x14ac:dyDescent="0.3">
      <c r="A1210" s="186"/>
      <c r="B1210" s="187"/>
      <c r="C1210" s="188"/>
      <c r="D1210" s="189" t="s">
        <v>8</v>
      </c>
      <c r="E1210" s="190"/>
      <c r="F1210" s="191">
        <f>SUM(F1206:F1209)</f>
        <v>91125</v>
      </c>
    </row>
    <row r="1211" spans="1:6" x14ac:dyDescent="0.25">
      <c r="A1211" s="192" t="s">
        <v>9</v>
      </c>
      <c r="B1211" s="193" t="s">
        <v>155</v>
      </c>
      <c r="C1211" s="194"/>
      <c r="D1211" s="194"/>
      <c r="E1211" s="194"/>
      <c r="F1211" s="195"/>
    </row>
    <row r="1212" spans="1:6" x14ac:dyDescent="0.25">
      <c r="A1212" s="196"/>
      <c r="B1212" s="197" t="s">
        <v>280</v>
      </c>
      <c r="C1212" s="198" t="s">
        <v>159</v>
      </c>
      <c r="D1212" s="388">
        <v>1</v>
      </c>
      <c r="E1212" s="200">
        <f>'HARGA BAHAN'!E141</f>
        <v>358000</v>
      </c>
      <c r="F1212" s="201">
        <f>+D1212*E1212</f>
        <v>358000</v>
      </c>
    </row>
    <row r="1213" spans="1:6" ht="14.4" thickBot="1" x14ac:dyDescent="0.3">
      <c r="A1213" s="389"/>
      <c r="B1213" s="390"/>
      <c r="C1213" s="391"/>
      <c r="D1213" s="392"/>
      <c r="E1213" s="393"/>
      <c r="F1213" s="425"/>
    </row>
    <row r="1214" spans="1:6" ht="14.4" thickBot="1" x14ac:dyDescent="0.3">
      <c r="A1214" s="186"/>
      <c r="B1214" s="205"/>
      <c r="C1214" s="205"/>
      <c r="D1214" s="206" t="s">
        <v>10</v>
      </c>
      <c r="E1214" s="205"/>
      <c r="F1214" s="191">
        <f>SUM(F1212:F1213)</f>
        <v>358000</v>
      </c>
    </row>
    <row r="1215" spans="1:6" ht="14.4" thickBot="1" x14ac:dyDescent="0.3">
      <c r="A1215" s="192" t="s">
        <v>11</v>
      </c>
      <c r="B1215" s="193" t="s">
        <v>160</v>
      </c>
      <c r="C1215" s="194"/>
      <c r="D1215" s="194"/>
      <c r="E1215" s="194"/>
      <c r="F1215" s="195"/>
    </row>
    <row r="1216" spans="1:6" ht="14.4" thickBot="1" x14ac:dyDescent="0.3">
      <c r="A1216" s="186"/>
      <c r="B1216" s="187"/>
      <c r="C1216" s="188"/>
      <c r="D1216" s="189" t="s">
        <v>12</v>
      </c>
      <c r="E1216" s="190"/>
      <c r="F1216" s="191">
        <v>0</v>
      </c>
    </row>
    <row r="1217" spans="1:6" x14ac:dyDescent="0.25">
      <c r="A1217" s="192" t="s">
        <v>13</v>
      </c>
      <c r="B1217" s="193" t="s">
        <v>14</v>
      </c>
      <c r="C1217" s="213"/>
      <c r="D1217" s="213"/>
      <c r="E1217" s="214"/>
      <c r="F1217" s="215">
        <f>+F1210+F1214+F1216</f>
        <v>449125</v>
      </c>
    </row>
    <row r="1218" spans="1:6" x14ac:dyDescent="0.25">
      <c r="A1218" s="169" t="s">
        <v>15</v>
      </c>
      <c r="B1218" s="170" t="s">
        <v>51</v>
      </c>
      <c r="C1218" s="216"/>
      <c r="D1218" s="216"/>
      <c r="E1218" s="217"/>
      <c r="F1218" s="218">
        <f>F1217*0.15</f>
        <v>67368.75</v>
      </c>
    </row>
    <row r="1219" spans="1:6" ht="14.4" thickBot="1" x14ac:dyDescent="0.3">
      <c r="A1219" s="219" t="s">
        <v>16</v>
      </c>
      <c r="B1219" s="220" t="s">
        <v>17</v>
      </c>
      <c r="C1219" s="221"/>
      <c r="D1219" s="221"/>
      <c r="E1219" s="222"/>
      <c r="F1219" s="223">
        <f>SUM(F1217:F1218)</f>
        <v>516493.75</v>
      </c>
    </row>
    <row r="1220" spans="1:6" x14ac:dyDescent="0.25">
      <c r="A1220" s="294"/>
      <c r="B1220" s="225"/>
      <c r="C1220" s="225"/>
      <c r="D1220" s="225"/>
      <c r="E1220" s="225"/>
      <c r="F1220" s="295"/>
    </row>
    <row r="1221" spans="1:6" ht="14.4" thickBot="1" x14ac:dyDescent="0.3">
      <c r="A1221" s="71" t="s">
        <v>271</v>
      </c>
      <c r="B1221" s="2" t="s">
        <v>272</v>
      </c>
      <c r="C1221" s="3"/>
      <c r="D1221" s="3"/>
      <c r="E1221" s="3"/>
      <c r="F1221" s="3"/>
    </row>
    <row r="1222" spans="1:6" ht="28.2" thickBot="1" x14ac:dyDescent="0.3">
      <c r="A1222" s="4" t="s">
        <v>2</v>
      </c>
      <c r="B1222" s="5" t="s">
        <v>3</v>
      </c>
      <c r="C1222" s="5" t="s">
        <v>0</v>
      </c>
      <c r="D1222" s="5" t="s">
        <v>4</v>
      </c>
      <c r="E1222" s="5" t="s">
        <v>5</v>
      </c>
      <c r="F1222" s="6" t="s">
        <v>6</v>
      </c>
    </row>
    <row r="1223" spans="1:6" x14ac:dyDescent="0.25">
      <c r="A1223" s="7">
        <v>1</v>
      </c>
      <c r="B1223" s="8">
        <v>2</v>
      </c>
      <c r="C1223" s="8">
        <v>3</v>
      </c>
      <c r="D1223" s="8">
        <v>4</v>
      </c>
      <c r="E1223" s="8">
        <v>5</v>
      </c>
      <c r="F1223" s="9">
        <v>6</v>
      </c>
    </row>
    <row r="1224" spans="1:6" x14ac:dyDescent="0.25">
      <c r="A1224" s="10" t="s">
        <v>1</v>
      </c>
      <c r="B1224" s="11" t="s">
        <v>150</v>
      </c>
      <c r="C1224" s="12"/>
      <c r="D1224" s="12"/>
      <c r="E1224" s="12"/>
      <c r="F1224" s="13"/>
    </row>
    <row r="1225" spans="1:6" x14ac:dyDescent="0.25">
      <c r="A1225" s="14"/>
      <c r="B1225" s="15" t="s">
        <v>151</v>
      </c>
      <c r="C1225" s="16" t="s">
        <v>7</v>
      </c>
      <c r="D1225" s="17">
        <v>1.4999999999999999E-2</v>
      </c>
      <c r="E1225" s="18">
        <f>'HARGA BAHAN'!E4</f>
        <v>125000</v>
      </c>
      <c r="F1225" s="19">
        <f>+D1225*E1225</f>
        <v>1875</v>
      </c>
    </row>
    <row r="1226" spans="1:6" x14ac:dyDescent="0.25">
      <c r="A1226" s="14"/>
      <c r="B1226" s="20" t="s">
        <v>152</v>
      </c>
      <c r="C1226" s="21" t="s">
        <v>7</v>
      </c>
      <c r="D1226" s="22">
        <v>0.15</v>
      </c>
      <c r="E1226" s="23">
        <f>'HARGA BAHAN'!E5</f>
        <v>160000</v>
      </c>
      <c r="F1226" s="159">
        <f>+D1226*E1226</f>
        <v>24000</v>
      </c>
    </row>
    <row r="1227" spans="1:6" x14ac:dyDescent="0.25">
      <c r="A1227" s="14"/>
      <c r="B1227" s="15" t="s">
        <v>153</v>
      </c>
      <c r="C1227" s="16" t="s">
        <v>7</v>
      </c>
      <c r="D1227" s="17">
        <v>1.4999999999999999E-2</v>
      </c>
      <c r="E1227" s="23">
        <f>'HARGA BAHAN'!E6</f>
        <v>180000</v>
      </c>
      <c r="F1227" s="19">
        <f>+D1227*E1227</f>
        <v>2700</v>
      </c>
    </row>
    <row r="1228" spans="1:6" ht="14.4" thickBot="1" x14ac:dyDescent="0.3">
      <c r="A1228" s="24"/>
      <c r="B1228" s="25" t="s">
        <v>154</v>
      </c>
      <c r="C1228" s="26" t="s">
        <v>7</v>
      </c>
      <c r="D1228" s="70">
        <v>8.0000000000000004E-4</v>
      </c>
      <c r="E1228" s="23">
        <f>'HARGA BAHAN'!E7</f>
        <v>175000</v>
      </c>
      <c r="F1228" s="157">
        <f>+D1228*E1228</f>
        <v>140</v>
      </c>
    </row>
    <row r="1229" spans="1:6" ht="14.4" thickBot="1" x14ac:dyDescent="0.3">
      <c r="A1229" s="28"/>
      <c r="B1229" s="29"/>
      <c r="C1229" s="30"/>
      <c r="D1229" s="31" t="s">
        <v>8</v>
      </c>
      <c r="E1229" s="32"/>
      <c r="F1229" s="33">
        <f>SUM(F1225:F1228)</f>
        <v>28715</v>
      </c>
    </row>
    <row r="1230" spans="1:6" x14ac:dyDescent="0.25">
      <c r="A1230" s="34" t="s">
        <v>9</v>
      </c>
      <c r="B1230" s="35" t="s">
        <v>155</v>
      </c>
      <c r="C1230" s="36"/>
      <c r="D1230" s="36"/>
      <c r="E1230" s="36"/>
      <c r="F1230" s="37"/>
    </row>
    <row r="1231" spans="1:6" x14ac:dyDescent="0.25">
      <c r="A1231" s="38"/>
      <c r="B1231" s="39" t="s">
        <v>273</v>
      </c>
      <c r="C1231" s="40" t="s">
        <v>159</v>
      </c>
      <c r="D1231" s="41">
        <v>1</v>
      </c>
      <c r="E1231" s="42">
        <f>'HARGA BAHAN'!E139</f>
        <v>58000</v>
      </c>
      <c r="F1231" s="43">
        <f>+D1231*E1231</f>
        <v>58000</v>
      </c>
    </row>
    <row r="1232" spans="1:6" ht="14.4" thickBot="1" x14ac:dyDescent="0.3">
      <c r="A1232" s="63"/>
      <c r="B1232" s="64"/>
      <c r="C1232" s="65"/>
      <c r="D1232" s="66"/>
      <c r="E1232" s="67"/>
      <c r="F1232" s="416"/>
    </row>
    <row r="1233" spans="1:6" ht="14.4" thickBot="1" x14ac:dyDescent="0.3">
      <c r="A1233" s="28"/>
      <c r="B1233" s="44"/>
      <c r="C1233" s="44"/>
      <c r="D1233" s="45" t="s">
        <v>10</v>
      </c>
      <c r="E1233" s="44"/>
      <c r="F1233" s="33">
        <f>SUM(F1231:F1232)</f>
        <v>58000</v>
      </c>
    </row>
    <row r="1234" spans="1:6" x14ac:dyDescent="0.25">
      <c r="A1234" s="34" t="s">
        <v>11</v>
      </c>
      <c r="B1234" s="35" t="s">
        <v>160</v>
      </c>
      <c r="C1234" s="36"/>
      <c r="D1234" s="36"/>
      <c r="E1234" s="36"/>
      <c r="F1234" s="37"/>
    </row>
    <row r="1235" spans="1:6" ht="14.4" thickBot="1" x14ac:dyDescent="0.3">
      <c r="A1235" s="46"/>
      <c r="B1235" s="47"/>
      <c r="C1235" s="48"/>
      <c r="D1235" s="49"/>
      <c r="E1235" s="50"/>
      <c r="F1235" s="51"/>
    </row>
    <row r="1236" spans="1:6" ht="14.4" thickBot="1" x14ac:dyDescent="0.3">
      <c r="A1236" s="28"/>
      <c r="B1236" s="29"/>
      <c r="C1236" s="30"/>
      <c r="D1236" s="31" t="s">
        <v>12</v>
      </c>
      <c r="E1236" s="32"/>
      <c r="F1236" s="33">
        <f>SUM(F1235)</f>
        <v>0</v>
      </c>
    </row>
    <row r="1237" spans="1:6" x14ac:dyDescent="0.25">
      <c r="A1237" s="34" t="s">
        <v>13</v>
      </c>
      <c r="B1237" s="35" t="s">
        <v>14</v>
      </c>
      <c r="C1237" s="52"/>
      <c r="D1237" s="52"/>
      <c r="E1237" s="53"/>
      <c r="F1237" s="54">
        <f>+F1229+F1233+F1236</f>
        <v>86715</v>
      </c>
    </row>
    <row r="1238" spans="1:6" x14ac:dyDescent="0.25">
      <c r="A1238" s="10" t="s">
        <v>15</v>
      </c>
      <c r="B1238" s="11" t="s">
        <v>51</v>
      </c>
      <c r="C1238" s="55"/>
      <c r="D1238" s="55"/>
      <c r="E1238" s="56"/>
      <c r="F1238" s="57">
        <f>F1237*0.15</f>
        <v>13007.25</v>
      </c>
    </row>
    <row r="1239" spans="1:6" ht="14.4" thickBot="1" x14ac:dyDescent="0.3">
      <c r="A1239" s="58" t="s">
        <v>16</v>
      </c>
      <c r="B1239" s="59" t="s">
        <v>17</v>
      </c>
      <c r="C1239" s="60"/>
      <c r="D1239" s="60"/>
      <c r="E1239" s="61"/>
      <c r="F1239" s="62">
        <f>SUM(F1237:F1238)</f>
        <v>99722.25</v>
      </c>
    </row>
    <row r="1240" spans="1:6" x14ac:dyDescent="0.25">
      <c r="A1240" s="294"/>
      <c r="B1240" s="225"/>
      <c r="C1240" s="225"/>
      <c r="D1240" s="225"/>
      <c r="E1240" s="225"/>
      <c r="F1240" s="295"/>
    </row>
    <row r="1241" spans="1:6" ht="16.2" thickBot="1" x14ac:dyDescent="0.3">
      <c r="A1241" s="71" t="s">
        <v>69</v>
      </c>
      <c r="B1241" s="2" t="s">
        <v>136</v>
      </c>
      <c r="C1241" s="3"/>
      <c r="D1241" s="3"/>
      <c r="E1241" s="3"/>
      <c r="F1241" s="3"/>
    </row>
    <row r="1242" spans="1:6" ht="28.2" thickBot="1" x14ac:dyDescent="0.3">
      <c r="A1242" s="4" t="s">
        <v>2</v>
      </c>
      <c r="B1242" s="5" t="s">
        <v>3</v>
      </c>
      <c r="C1242" s="5" t="s">
        <v>0</v>
      </c>
      <c r="D1242" s="5" t="s">
        <v>4</v>
      </c>
      <c r="E1242" s="5" t="s">
        <v>5</v>
      </c>
      <c r="F1242" s="6" t="s">
        <v>6</v>
      </c>
    </row>
    <row r="1243" spans="1:6" x14ac:dyDescent="0.25">
      <c r="A1243" s="7">
        <v>1</v>
      </c>
      <c r="B1243" s="8">
        <v>2</v>
      </c>
      <c r="C1243" s="8">
        <v>3</v>
      </c>
      <c r="D1243" s="8">
        <v>4</v>
      </c>
      <c r="E1243" s="8">
        <v>5</v>
      </c>
      <c r="F1243" s="9">
        <v>6</v>
      </c>
    </row>
    <row r="1244" spans="1:6" x14ac:dyDescent="0.25">
      <c r="A1244" s="10" t="s">
        <v>1</v>
      </c>
      <c r="B1244" s="11" t="s">
        <v>76</v>
      </c>
      <c r="C1244" s="12"/>
      <c r="D1244" s="12"/>
      <c r="E1244" s="12"/>
      <c r="F1244" s="13"/>
    </row>
    <row r="1245" spans="1:6" x14ac:dyDescent="0.25">
      <c r="A1245" s="14"/>
      <c r="B1245" s="15" t="s">
        <v>40</v>
      </c>
      <c r="C1245" s="16" t="s">
        <v>7</v>
      </c>
      <c r="D1245" s="17">
        <v>0.02</v>
      </c>
      <c r="E1245" s="18">
        <f>'HARGA BAHAN'!E4</f>
        <v>125000</v>
      </c>
      <c r="F1245" s="19">
        <f>+D1245*E1245</f>
        <v>2500</v>
      </c>
    </row>
    <row r="1246" spans="1:6" x14ac:dyDescent="0.25">
      <c r="A1246" s="14"/>
      <c r="B1246" s="20" t="s">
        <v>86</v>
      </c>
      <c r="C1246" s="21" t="s">
        <v>7</v>
      </c>
      <c r="D1246" s="22">
        <v>6.3E-2</v>
      </c>
      <c r="E1246" s="18">
        <f>'HARGA BAHAN'!E5</f>
        <v>160000</v>
      </c>
      <c r="F1246" s="19">
        <f>+D1246*E1246</f>
        <v>10080</v>
      </c>
    </row>
    <row r="1247" spans="1:6" x14ac:dyDescent="0.25">
      <c r="A1247" s="14"/>
      <c r="B1247" s="15" t="s">
        <v>87</v>
      </c>
      <c r="C1247" s="16" t="s">
        <v>7</v>
      </c>
      <c r="D1247" s="69">
        <v>6.3E-3</v>
      </c>
      <c r="E1247" s="18">
        <f>'HARGA BAHAN'!E6</f>
        <v>180000</v>
      </c>
      <c r="F1247" s="19">
        <f>+D1247*E1247</f>
        <v>1134</v>
      </c>
    </row>
    <row r="1248" spans="1:6" ht="14.4" thickBot="1" x14ac:dyDescent="0.3">
      <c r="A1248" s="24"/>
      <c r="B1248" s="25" t="s">
        <v>42</v>
      </c>
      <c r="C1248" s="26" t="s">
        <v>7</v>
      </c>
      <c r="D1248" s="27">
        <v>3.0000000000000001E-3</v>
      </c>
      <c r="E1248" s="18">
        <f>'HARGA BAHAN'!E7</f>
        <v>175000</v>
      </c>
      <c r="F1248" s="19">
        <f>+D1248*E1248</f>
        <v>525</v>
      </c>
    </row>
    <row r="1249" spans="1:6" ht="14.4" thickBot="1" x14ac:dyDescent="0.3">
      <c r="A1249" s="28"/>
      <c r="B1249" s="29"/>
      <c r="C1249" s="30"/>
      <c r="D1249" s="31" t="s">
        <v>8</v>
      </c>
      <c r="E1249" s="32"/>
      <c r="F1249" s="33">
        <f>SUM(F1245:F1248)</f>
        <v>14239</v>
      </c>
    </row>
    <row r="1250" spans="1:6" x14ac:dyDescent="0.25">
      <c r="A1250" s="34" t="s">
        <v>9</v>
      </c>
      <c r="B1250" s="35" t="s">
        <v>77</v>
      </c>
      <c r="C1250" s="36"/>
      <c r="D1250" s="36"/>
      <c r="E1250" s="36"/>
      <c r="F1250" s="37"/>
    </row>
    <row r="1251" spans="1:6" x14ac:dyDescent="0.25">
      <c r="A1251" s="38"/>
      <c r="B1251" s="39" t="s">
        <v>54</v>
      </c>
      <c r="C1251" s="40" t="s">
        <v>21</v>
      </c>
      <c r="D1251" s="41">
        <v>0.1</v>
      </c>
      <c r="E1251" s="42">
        <f>'HARGA BAHAN'!E87</f>
        <v>30000</v>
      </c>
      <c r="F1251" s="19">
        <f>+D1251*E1251</f>
        <v>3000</v>
      </c>
    </row>
    <row r="1252" spans="1:6" x14ac:dyDescent="0.25">
      <c r="A1252" s="63"/>
      <c r="B1252" s="64" t="s">
        <v>34</v>
      </c>
      <c r="C1252" s="65" t="s">
        <v>21</v>
      </c>
      <c r="D1252" s="66">
        <v>0.1</v>
      </c>
      <c r="E1252" s="67">
        <f>'HARGA BAHAN'!E89</f>
        <v>42000</v>
      </c>
      <c r="F1252" s="19">
        <f>+D1252*E1252</f>
        <v>4200</v>
      </c>
    </row>
    <row r="1253" spans="1:6" ht="14.4" thickBot="1" x14ac:dyDescent="0.3">
      <c r="A1253" s="63"/>
      <c r="B1253" s="64" t="s">
        <v>55</v>
      </c>
      <c r="C1253" s="65" t="s">
        <v>21</v>
      </c>
      <c r="D1253" s="66">
        <v>0.26</v>
      </c>
      <c r="E1253" s="67">
        <f>'HARGA BAHAN'!E90</f>
        <v>40000</v>
      </c>
      <c r="F1253" s="19">
        <f>+D1253*E1253</f>
        <v>10400</v>
      </c>
    </row>
    <row r="1254" spans="1:6" ht="14.4" thickBot="1" x14ac:dyDescent="0.3">
      <c r="A1254" s="28"/>
      <c r="B1254" s="44"/>
      <c r="C1254" s="44"/>
      <c r="D1254" s="45" t="s">
        <v>10</v>
      </c>
      <c r="E1254" s="44"/>
      <c r="F1254" s="33">
        <f>SUM(F1251:F1253)</f>
        <v>17600</v>
      </c>
    </row>
    <row r="1255" spans="1:6" x14ac:dyDescent="0.25">
      <c r="A1255" s="34" t="s">
        <v>11</v>
      </c>
      <c r="B1255" s="35" t="s">
        <v>78</v>
      </c>
      <c r="C1255" s="36"/>
      <c r="D1255" s="36"/>
      <c r="E1255" s="36"/>
      <c r="F1255" s="37"/>
    </row>
    <row r="1256" spans="1:6" ht="14.4" thickBot="1" x14ac:dyDescent="0.3">
      <c r="A1256" s="46"/>
      <c r="B1256" s="47"/>
      <c r="C1256" s="48"/>
      <c r="D1256" s="49"/>
      <c r="E1256" s="50"/>
      <c r="F1256" s="51"/>
    </row>
    <row r="1257" spans="1:6" ht="14.4" thickBot="1" x14ac:dyDescent="0.3">
      <c r="A1257" s="28"/>
      <c r="B1257" s="29"/>
      <c r="C1257" s="30"/>
      <c r="D1257" s="31" t="s">
        <v>12</v>
      </c>
      <c r="E1257" s="32"/>
      <c r="F1257" s="33">
        <f>SUM(F1256)</f>
        <v>0</v>
      </c>
    </row>
    <row r="1258" spans="1:6" x14ac:dyDescent="0.25">
      <c r="A1258" s="34" t="s">
        <v>13</v>
      </c>
      <c r="B1258" s="35" t="s">
        <v>14</v>
      </c>
      <c r="C1258" s="52"/>
      <c r="D1258" s="52"/>
      <c r="E1258" s="53"/>
      <c r="F1258" s="54">
        <f>+F1249+F1254+F1257</f>
        <v>31839</v>
      </c>
    </row>
    <row r="1259" spans="1:6" x14ac:dyDescent="0.25">
      <c r="A1259" s="10" t="s">
        <v>15</v>
      </c>
      <c r="B1259" s="11" t="s">
        <v>51</v>
      </c>
      <c r="C1259" s="55"/>
      <c r="D1259" s="55"/>
      <c r="E1259" s="56"/>
      <c r="F1259" s="57">
        <f>F1258*15%</f>
        <v>4775.8499999999995</v>
      </c>
    </row>
    <row r="1260" spans="1:6" ht="14.4" thickBot="1" x14ac:dyDescent="0.3">
      <c r="A1260" s="58" t="s">
        <v>16</v>
      </c>
      <c r="B1260" s="59" t="s">
        <v>17</v>
      </c>
      <c r="C1260" s="60"/>
      <c r="D1260" s="60"/>
      <c r="E1260" s="61"/>
      <c r="F1260" s="62">
        <f>SUM(F1258:F1259)</f>
        <v>36614.85</v>
      </c>
    </row>
    <row r="1262" spans="1:6" ht="16.2" thickBot="1" x14ac:dyDescent="0.3">
      <c r="A1262" s="71" t="s">
        <v>327</v>
      </c>
      <c r="B1262" s="2" t="s">
        <v>328</v>
      </c>
      <c r="C1262" s="3"/>
      <c r="D1262" s="3"/>
      <c r="E1262" s="3"/>
      <c r="F1262" s="3"/>
    </row>
    <row r="1263" spans="1:6" ht="28.2" thickBot="1" x14ac:dyDescent="0.3">
      <c r="A1263" s="4" t="s">
        <v>2</v>
      </c>
      <c r="B1263" s="5" t="s">
        <v>3</v>
      </c>
      <c r="C1263" s="5" t="s">
        <v>0</v>
      </c>
      <c r="D1263" s="5" t="s">
        <v>4</v>
      </c>
      <c r="E1263" s="5" t="s">
        <v>5</v>
      </c>
      <c r="F1263" s="6" t="s">
        <v>6</v>
      </c>
    </row>
    <row r="1264" spans="1:6" x14ac:dyDescent="0.25">
      <c r="A1264" s="7">
        <v>1</v>
      </c>
      <c r="B1264" s="8">
        <v>2</v>
      </c>
      <c r="C1264" s="8">
        <v>3</v>
      </c>
      <c r="D1264" s="8">
        <v>4</v>
      </c>
      <c r="E1264" s="8">
        <v>5</v>
      </c>
      <c r="F1264" s="9">
        <v>6</v>
      </c>
    </row>
    <row r="1265" spans="1:6" x14ac:dyDescent="0.25">
      <c r="A1265" s="10" t="s">
        <v>1</v>
      </c>
      <c r="B1265" s="11" t="s">
        <v>76</v>
      </c>
      <c r="C1265" s="12"/>
      <c r="D1265" s="12"/>
      <c r="E1265" s="12"/>
      <c r="F1265" s="13"/>
    </row>
    <row r="1266" spans="1:6" x14ac:dyDescent="0.25">
      <c r="A1266" s="14"/>
      <c r="B1266" s="15" t="s">
        <v>40</v>
      </c>
      <c r="C1266" s="16" t="s">
        <v>7</v>
      </c>
      <c r="D1266" s="17">
        <v>2.8000000000000001E-2</v>
      </c>
      <c r="E1266" s="18">
        <f>'HARGA BAHAN'!E4</f>
        <v>125000</v>
      </c>
      <c r="F1266" s="19">
        <f>+D1266*E1266</f>
        <v>3500</v>
      </c>
    </row>
    <row r="1267" spans="1:6" x14ac:dyDescent="0.25">
      <c r="A1267" s="14"/>
      <c r="B1267" s="20" t="s">
        <v>86</v>
      </c>
      <c r="C1267" s="21" t="s">
        <v>7</v>
      </c>
      <c r="D1267" s="22">
        <v>4.2000000000000003E-2</v>
      </c>
      <c r="E1267" s="18">
        <f>'HARGA BAHAN'!E5</f>
        <v>160000</v>
      </c>
      <c r="F1267" s="19">
        <f>+D1267*E1267</f>
        <v>6720</v>
      </c>
    </row>
    <row r="1268" spans="1:6" x14ac:dyDescent="0.25">
      <c r="A1268" s="14"/>
      <c r="B1268" s="15" t="s">
        <v>87</v>
      </c>
      <c r="C1268" s="16" t="s">
        <v>7</v>
      </c>
      <c r="D1268" s="69">
        <v>4.1999999999999997E-3</v>
      </c>
      <c r="E1268" s="18">
        <f>'HARGA BAHAN'!E6</f>
        <v>180000</v>
      </c>
      <c r="F1268" s="19">
        <f>+D1268*E1268</f>
        <v>756</v>
      </c>
    </row>
    <row r="1269" spans="1:6" ht="14.4" thickBot="1" x14ac:dyDescent="0.3">
      <c r="A1269" s="24"/>
      <c r="B1269" s="25" t="s">
        <v>42</v>
      </c>
      <c r="C1269" s="26" t="s">
        <v>7</v>
      </c>
      <c r="D1269" s="27">
        <v>3.0000000000000001E-3</v>
      </c>
      <c r="E1269" s="18">
        <f>'HARGA BAHAN'!E7</f>
        <v>175000</v>
      </c>
      <c r="F1269" s="19">
        <f>+D1269*E1269</f>
        <v>525</v>
      </c>
    </row>
    <row r="1270" spans="1:6" ht="14.4" thickBot="1" x14ac:dyDescent="0.3">
      <c r="A1270" s="28"/>
      <c r="B1270" s="29"/>
      <c r="C1270" s="30"/>
      <c r="D1270" s="31" t="s">
        <v>8</v>
      </c>
      <c r="E1270" s="32"/>
      <c r="F1270" s="33">
        <f>SUM(F1266:F1269)</f>
        <v>11501</v>
      </c>
    </row>
    <row r="1271" spans="1:6" x14ac:dyDescent="0.25">
      <c r="A1271" s="34" t="s">
        <v>9</v>
      </c>
      <c r="B1271" s="35" t="s">
        <v>77</v>
      </c>
      <c r="C1271" s="36"/>
      <c r="D1271" s="36"/>
      <c r="E1271" s="36"/>
      <c r="F1271" s="37"/>
    </row>
    <row r="1272" spans="1:6" x14ac:dyDescent="0.25">
      <c r="A1272" s="63"/>
      <c r="B1272" s="64" t="s">
        <v>34</v>
      </c>
      <c r="C1272" s="65" t="s">
        <v>21</v>
      </c>
      <c r="D1272" s="66">
        <v>0.12</v>
      </c>
      <c r="E1272" s="67">
        <f>'HARGA BAHAN'!E89</f>
        <v>42000</v>
      </c>
      <c r="F1272" s="19">
        <f>+D1272*E1272</f>
        <v>5040</v>
      </c>
    </row>
    <row r="1273" spans="1:6" ht="14.4" thickBot="1" x14ac:dyDescent="0.3">
      <c r="A1273" s="63"/>
      <c r="B1273" s="64" t="s">
        <v>329</v>
      </c>
      <c r="C1273" s="65" t="s">
        <v>21</v>
      </c>
      <c r="D1273" s="66">
        <v>0.18</v>
      </c>
      <c r="E1273" s="67">
        <f>'HARGA BAHAN'!E90</f>
        <v>40000</v>
      </c>
      <c r="F1273" s="19">
        <f>+D1273*E1273</f>
        <v>7200</v>
      </c>
    </row>
    <row r="1274" spans="1:6" ht="14.4" thickBot="1" x14ac:dyDescent="0.3">
      <c r="A1274" s="28"/>
      <c r="B1274" s="44"/>
      <c r="C1274" s="44"/>
      <c r="D1274" s="45" t="s">
        <v>10</v>
      </c>
      <c r="E1274" s="44"/>
      <c r="F1274" s="33">
        <f>SUM(F1272:F1273)</f>
        <v>12240</v>
      </c>
    </row>
    <row r="1275" spans="1:6" x14ac:dyDescent="0.25">
      <c r="A1275" s="34" t="s">
        <v>11</v>
      </c>
      <c r="B1275" s="35" t="s">
        <v>78</v>
      </c>
      <c r="C1275" s="36"/>
      <c r="D1275" s="36"/>
      <c r="E1275" s="36"/>
      <c r="F1275" s="37"/>
    </row>
    <row r="1276" spans="1:6" ht="14.4" thickBot="1" x14ac:dyDescent="0.3">
      <c r="A1276" s="46"/>
      <c r="B1276" s="47"/>
      <c r="C1276" s="48"/>
      <c r="D1276" s="49"/>
      <c r="E1276" s="50"/>
      <c r="F1276" s="51"/>
    </row>
    <row r="1277" spans="1:6" ht="14.4" thickBot="1" x14ac:dyDescent="0.3">
      <c r="A1277" s="28"/>
      <c r="B1277" s="29"/>
      <c r="C1277" s="30"/>
      <c r="D1277" s="31" t="s">
        <v>12</v>
      </c>
      <c r="E1277" s="32"/>
      <c r="F1277" s="33">
        <f>SUM(F1276)</f>
        <v>0</v>
      </c>
    </row>
    <row r="1278" spans="1:6" x14ac:dyDescent="0.25">
      <c r="A1278" s="34" t="s">
        <v>13</v>
      </c>
      <c r="B1278" s="35" t="s">
        <v>14</v>
      </c>
      <c r="C1278" s="52"/>
      <c r="D1278" s="52"/>
      <c r="E1278" s="53"/>
      <c r="F1278" s="54">
        <f>+F1270+F1274+F1277</f>
        <v>23741</v>
      </c>
    </row>
    <row r="1279" spans="1:6" x14ac:dyDescent="0.25">
      <c r="A1279" s="10" t="s">
        <v>15</v>
      </c>
      <c r="B1279" s="11" t="s">
        <v>51</v>
      </c>
      <c r="C1279" s="55"/>
      <c r="D1279" s="55"/>
      <c r="E1279" s="56"/>
      <c r="F1279" s="57">
        <f>F1278*15%</f>
        <v>3561.15</v>
      </c>
    </row>
    <row r="1280" spans="1:6" ht="14.4" thickBot="1" x14ac:dyDescent="0.3">
      <c r="A1280" s="58" t="s">
        <v>16</v>
      </c>
      <c r="B1280" s="59" t="s">
        <v>17</v>
      </c>
      <c r="C1280" s="60"/>
      <c r="D1280" s="60"/>
      <c r="E1280" s="61"/>
      <c r="F1280" s="62">
        <f>SUM(F1278:F1279)</f>
        <v>27302.15</v>
      </c>
    </row>
    <row r="1282" spans="1:6" ht="14.4" thickBot="1" x14ac:dyDescent="0.3">
      <c r="A1282" s="71" t="s">
        <v>283</v>
      </c>
      <c r="B1282" s="2" t="s">
        <v>284</v>
      </c>
      <c r="C1282" s="3"/>
      <c r="D1282" s="3"/>
      <c r="E1282" s="3"/>
      <c r="F1282" s="3"/>
    </row>
    <row r="1283" spans="1:6" ht="28.2" thickBot="1" x14ac:dyDescent="0.3">
      <c r="A1283" s="4" t="s">
        <v>2</v>
      </c>
      <c r="B1283" s="5" t="s">
        <v>3</v>
      </c>
      <c r="C1283" s="5" t="s">
        <v>0</v>
      </c>
      <c r="D1283" s="5" t="s">
        <v>4</v>
      </c>
      <c r="E1283" s="5" t="s">
        <v>5</v>
      </c>
      <c r="F1283" s="6" t="s">
        <v>6</v>
      </c>
    </row>
    <row r="1284" spans="1:6" x14ac:dyDescent="0.25">
      <c r="A1284" s="7">
        <v>1</v>
      </c>
      <c r="B1284" s="8">
        <v>2</v>
      </c>
      <c r="C1284" s="8">
        <v>3</v>
      </c>
      <c r="D1284" s="8">
        <v>4</v>
      </c>
      <c r="E1284" s="8">
        <v>5</v>
      </c>
      <c r="F1284" s="9">
        <v>6</v>
      </c>
    </row>
    <row r="1285" spans="1:6" x14ac:dyDescent="0.25">
      <c r="A1285" s="10" t="s">
        <v>1</v>
      </c>
      <c r="B1285" s="11" t="s">
        <v>150</v>
      </c>
      <c r="C1285" s="12"/>
      <c r="D1285" s="12"/>
      <c r="E1285" s="12"/>
      <c r="F1285" s="13"/>
    </row>
    <row r="1286" spans="1:6" x14ac:dyDescent="0.25">
      <c r="A1286" s="14"/>
      <c r="B1286" s="15" t="s">
        <v>151</v>
      </c>
      <c r="C1286" s="16" t="s">
        <v>7</v>
      </c>
      <c r="D1286" s="17">
        <v>7.0000000000000007E-2</v>
      </c>
      <c r="E1286" s="18">
        <f>'HARGA BAHAN'!E4</f>
        <v>125000</v>
      </c>
      <c r="F1286" s="19">
        <f>+D1286*E1286</f>
        <v>8750</v>
      </c>
    </row>
    <row r="1287" spans="1:6" x14ac:dyDescent="0.25">
      <c r="A1287" s="14"/>
      <c r="B1287" s="20" t="s">
        <v>285</v>
      </c>
      <c r="C1287" s="21" t="s">
        <v>7</v>
      </c>
      <c r="D1287" s="22">
        <v>0.09</v>
      </c>
      <c r="E1287" s="23">
        <f>'HARGA BAHAN'!E5</f>
        <v>160000</v>
      </c>
      <c r="F1287" s="159">
        <f>+D1287*E1287</f>
        <v>14400</v>
      </c>
    </row>
    <row r="1288" spans="1:6" x14ac:dyDescent="0.25">
      <c r="A1288" s="14"/>
      <c r="B1288" s="15" t="s">
        <v>153</v>
      </c>
      <c r="C1288" s="16" t="s">
        <v>7</v>
      </c>
      <c r="D1288" s="17">
        <v>6.0000000000000001E-3</v>
      </c>
      <c r="E1288" s="23">
        <f>'HARGA BAHAN'!E6</f>
        <v>180000</v>
      </c>
      <c r="F1288" s="19">
        <f>+D1288*E1288</f>
        <v>1080</v>
      </c>
    </row>
    <row r="1289" spans="1:6" ht="14.4" thickBot="1" x14ac:dyDescent="0.3">
      <c r="A1289" s="24"/>
      <c r="B1289" s="25" t="s">
        <v>154</v>
      </c>
      <c r="C1289" s="26" t="s">
        <v>7</v>
      </c>
      <c r="D1289" s="70">
        <v>3.0000000000000001E-3</v>
      </c>
      <c r="E1289" s="23">
        <f>'HARGA BAHAN'!E7</f>
        <v>175000</v>
      </c>
      <c r="F1289" s="157">
        <f>+D1289*E1289</f>
        <v>525</v>
      </c>
    </row>
    <row r="1290" spans="1:6" ht="14.4" thickBot="1" x14ac:dyDescent="0.3">
      <c r="A1290" s="28"/>
      <c r="B1290" s="29"/>
      <c r="C1290" s="30"/>
      <c r="D1290" s="31" t="s">
        <v>8</v>
      </c>
      <c r="E1290" s="32"/>
      <c r="F1290" s="33">
        <f>SUM(F1286:F1289)</f>
        <v>24755</v>
      </c>
    </row>
    <row r="1291" spans="1:6" x14ac:dyDescent="0.25">
      <c r="A1291" s="34" t="s">
        <v>9</v>
      </c>
      <c r="B1291" s="35" t="s">
        <v>155</v>
      </c>
      <c r="C1291" s="36"/>
      <c r="D1291" s="36"/>
      <c r="E1291" s="36"/>
      <c r="F1291" s="37"/>
    </row>
    <row r="1292" spans="1:6" x14ac:dyDescent="0.25">
      <c r="A1292" s="46"/>
      <c r="B1292" s="47" t="s">
        <v>286</v>
      </c>
      <c r="C1292" s="48" t="s">
        <v>213</v>
      </c>
      <c r="D1292" s="49">
        <v>0.2</v>
      </c>
      <c r="E1292" s="50">
        <f>'HARGA BAHAN'!E88</f>
        <v>62000</v>
      </c>
      <c r="F1292" s="51">
        <f t="shared" ref="F1292:F1298" si="28">+D1292*E1292</f>
        <v>12400</v>
      </c>
    </row>
    <row r="1293" spans="1:6" x14ac:dyDescent="0.25">
      <c r="A1293" s="14"/>
      <c r="B1293" s="15" t="s">
        <v>287</v>
      </c>
      <c r="C1293" s="16" t="s">
        <v>213</v>
      </c>
      <c r="D1293" s="17">
        <v>0.15</v>
      </c>
      <c r="E1293" s="18">
        <f>'HARGA BAHAN'!E87</f>
        <v>30000</v>
      </c>
      <c r="F1293" s="19">
        <f t="shared" si="28"/>
        <v>4500</v>
      </c>
    </row>
    <row r="1294" spans="1:6" x14ac:dyDescent="0.25">
      <c r="A1294" s="14"/>
      <c r="B1294" s="15" t="s">
        <v>288</v>
      </c>
      <c r="C1294" s="16" t="s">
        <v>213</v>
      </c>
      <c r="D1294" s="17">
        <v>0.17</v>
      </c>
      <c r="E1294" s="18">
        <f>'HARGA BAHAN'!E89</f>
        <v>42000</v>
      </c>
      <c r="F1294" s="19">
        <f t="shared" si="28"/>
        <v>7140.0000000000009</v>
      </c>
    </row>
    <row r="1295" spans="1:6" x14ac:dyDescent="0.25">
      <c r="A1295" s="14"/>
      <c r="B1295" s="15" t="s">
        <v>294</v>
      </c>
      <c r="C1295" s="16" t="s">
        <v>213</v>
      </c>
      <c r="D1295" s="17">
        <v>0.26</v>
      </c>
      <c r="E1295" s="18">
        <f>'HARGA BAHAN'!E91</f>
        <v>85000</v>
      </c>
      <c r="F1295" s="19">
        <f t="shared" si="28"/>
        <v>22100</v>
      </c>
    </row>
    <row r="1296" spans="1:6" x14ac:dyDescent="0.25">
      <c r="A1296" s="14"/>
      <c r="B1296" s="15" t="s">
        <v>298</v>
      </c>
      <c r="C1296" s="16" t="s">
        <v>213</v>
      </c>
      <c r="D1296" s="17">
        <v>0.01</v>
      </c>
      <c r="E1296" s="18">
        <f>'HARGA BAHAN'!E95</f>
        <v>35000</v>
      </c>
      <c r="F1296" s="19">
        <f t="shared" si="28"/>
        <v>350</v>
      </c>
    </row>
    <row r="1297" spans="1:6" x14ac:dyDescent="0.25">
      <c r="A1297" s="14"/>
      <c r="B1297" s="15" t="s">
        <v>289</v>
      </c>
      <c r="C1297" s="16" t="s">
        <v>290</v>
      </c>
      <c r="D1297" s="17">
        <v>0.03</v>
      </c>
      <c r="E1297" s="18">
        <f>'HARGA BAHAN'!E92</f>
        <v>30000</v>
      </c>
      <c r="F1297" s="19">
        <f t="shared" si="28"/>
        <v>900</v>
      </c>
    </row>
    <row r="1298" spans="1:6" ht="14.4" thickBot="1" x14ac:dyDescent="0.3">
      <c r="A1298" s="14"/>
      <c r="B1298" s="15" t="s">
        <v>291</v>
      </c>
      <c r="C1298" s="16" t="s">
        <v>248</v>
      </c>
      <c r="D1298" s="17">
        <v>0.2</v>
      </c>
      <c r="E1298" s="18">
        <f>'HARGA BAHAN'!E96</f>
        <v>5000</v>
      </c>
      <c r="F1298" s="19">
        <f t="shared" si="28"/>
        <v>1000</v>
      </c>
    </row>
    <row r="1299" spans="1:6" ht="14.4" thickBot="1" x14ac:dyDescent="0.3">
      <c r="A1299" s="28"/>
      <c r="B1299" s="44"/>
      <c r="C1299" s="44"/>
      <c r="D1299" s="45" t="s">
        <v>10</v>
      </c>
      <c r="E1299" s="44"/>
      <c r="F1299" s="33">
        <f>SUM(F1292:F1298)</f>
        <v>48390</v>
      </c>
    </row>
    <row r="1300" spans="1:6" ht="14.4" thickBot="1" x14ac:dyDescent="0.3">
      <c r="A1300" s="34" t="s">
        <v>11</v>
      </c>
      <c r="B1300" s="35" t="s">
        <v>160</v>
      </c>
      <c r="C1300" s="36"/>
      <c r="D1300" s="36"/>
      <c r="E1300" s="36"/>
      <c r="F1300" s="37"/>
    </row>
    <row r="1301" spans="1:6" ht="14.4" thickBot="1" x14ac:dyDescent="0.3">
      <c r="A1301" s="28"/>
      <c r="B1301" s="29"/>
      <c r="C1301" s="30"/>
      <c r="D1301" s="31" t="s">
        <v>12</v>
      </c>
      <c r="E1301" s="32"/>
      <c r="F1301" s="33">
        <v>0</v>
      </c>
    </row>
    <row r="1302" spans="1:6" x14ac:dyDescent="0.25">
      <c r="A1302" s="34" t="s">
        <v>13</v>
      </c>
      <c r="B1302" s="35" t="s">
        <v>14</v>
      </c>
      <c r="C1302" s="52"/>
      <c r="D1302" s="52"/>
      <c r="E1302" s="53"/>
      <c r="F1302" s="54">
        <f>+F1290+F1299+F1301</f>
        <v>73145</v>
      </c>
    </row>
    <row r="1303" spans="1:6" x14ac:dyDescent="0.25">
      <c r="A1303" s="10" t="s">
        <v>15</v>
      </c>
      <c r="B1303" s="11" t="s">
        <v>292</v>
      </c>
      <c r="C1303" s="55"/>
      <c r="D1303" s="55"/>
      <c r="E1303" s="56"/>
      <c r="F1303" s="57">
        <v>0</v>
      </c>
    </row>
    <row r="1304" spans="1:6" ht="14.4" thickBot="1" x14ac:dyDescent="0.3">
      <c r="A1304" s="58" t="s">
        <v>16</v>
      </c>
      <c r="B1304" s="59" t="s">
        <v>17</v>
      </c>
      <c r="C1304" s="60"/>
      <c r="D1304" s="60"/>
      <c r="E1304" s="61"/>
      <c r="F1304" s="62">
        <f>SUM(F1302:F1303)</f>
        <v>73145</v>
      </c>
    </row>
    <row r="1306" spans="1:6" ht="14.4" thickBot="1" x14ac:dyDescent="0.3">
      <c r="A1306" s="160" t="s">
        <v>313</v>
      </c>
      <c r="B1306" s="161" t="s">
        <v>314</v>
      </c>
      <c r="C1306" s="162"/>
      <c r="D1306" s="162"/>
      <c r="E1306" s="162"/>
      <c r="F1306" s="162"/>
    </row>
    <row r="1307" spans="1:6" ht="28.2" thickBot="1" x14ac:dyDescent="0.3">
      <c r="A1307" s="163" t="s">
        <v>2</v>
      </c>
      <c r="B1307" s="164" t="s">
        <v>3</v>
      </c>
      <c r="C1307" s="164" t="s">
        <v>0</v>
      </c>
      <c r="D1307" s="164" t="s">
        <v>4</v>
      </c>
      <c r="E1307" s="164" t="s">
        <v>5</v>
      </c>
      <c r="F1307" s="165" t="s">
        <v>6</v>
      </c>
    </row>
    <row r="1308" spans="1:6" x14ac:dyDescent="0.25">
      <c r="A1308" s="166">
        <v>1</v>
      </c>
      <c r="B1308" s="167">
        <v>2</v>
      </c>
      <c r="C1308" s="167">
        <v>3</v>
      </c>
      <c r="D1308" s="167">
        <v>4</v>
      </c>
      <c r="E1308" s="167">
        <v>5</v>
      </c>
      <c r="F1308" s="168">
        <v>6</v>
      </c>
    </row>
    <row r="1309" spans="1:6" x14ac:dyDescent="0.25">
      <c r="A1309" s="169" t="s">
        <v>1</v>
      </c>
      <c r="B1309" s="170" t="s">
        <v>150</v>
      </c>
      <c r="C1309" s="171"/>
      <c r="D1309" s="171"/>
      <c r="E1309" s="171"/>
      <c r="F1309" s="172"/>
    </row>
    <row r="1310" spans="1:6" x14ac:dyDescent="0.25">
      <c r="A1310" s="173"/>
      <c r="B1310" s="174" t="s">
        <v>151</v>
      </c>
      <c r="C1310" s="175" t="s">
        <v>7</v>
      </c>
      <c r="D1310" s="176">
        <v>0.09</v>
      </c>
      <c r="E1310" s="177">
        <f>'HARGA BAHAN'!E4</f>
        <v>125000</v>
      </c>
      <c r="F1310" s="178">
        <f t="shared" ref="F1310" si="29">+D1310*E1310</f>
        <v>11250</v>
      </c>
    </row>
    <row r="1311" spans="1:6" x14ac:dyDescent="0.25">
      <c r="A1311" s="173"/>
      <c r="B1311" s="179" t="s">
        <v>152</v>
      </c>
      <c r="C1311" s="180" t="s">
        <v>7</v>
      </c>
      <c r="D1311" s="181">
        <v>0.09</v>
      </c>
      <c r="E1311" s="177">
        <f>'HARGA BAHAN'!E5</f>
        <v>160000</v>
      </c>
      <c r="F1311" s="423">
        <f>+D1311*E1311</f>
        <v>14400</v>
      </c>
    </row>
    <row r="1312" spans="1:6" x14ac:dyDescent="0.25">
      <c r="A1312" s="173"/>
      <c r="B1312" s="174" t="s">
        <v>153</v>
      </c>
      <c r="C1312" s="175" t="s">
        <v>7</v>
      </c>
      <c r="D1312" s="176">
        <v>6.0000000000000001E-3</v>
      </c>
      <c r="E1312" s="177">
        <f>'HARGA BAHAN'!E6</f>
        <v>180000</v>
      </c>
      <c r="F1312" s="178">
        <f t="shared" ref="F1312:F1313" si="30">+D1312*E1312</f>
        <v>1080</v>
      </c>
    </row>
    <row r="1313" spans="1:6" ht="14.4" thickBot="1" x14ac:dyDescent="0.3">
      <c r="A1313" s="182"/>
      <c r="B1313" s="183" t="s">
        <v>154</v>
      </c>
      <c r="C1313" s="184" t="s">
        <v>7</v>
      </c>
      <c r="D1313" s="185">
        <v>3.0000000000000001E-3</v>
      </c>
      <c r="E1313" s="177">
        <f>'HARGA BAHAN'!E7</f>
        <v>175000</v>
      </c>
      <c r="F1313" s="424">
        <f t="shared" si="30"/>
        <v>525</v>
      </c>
    </row>
    <row r="1314" spans="1:6" ht="14.4" thickBot="1" x14ac:dyDescent="0.3">
      <c r="A1314" s="186"/>
      <c r="B1314" s="187"/>
      <c r="C1314" s="188"/>
      <c r="D1314" s="189" t="s">
        <v>8</v>
      </c>
      <c r="E1314" s="190"/>
      <c r="F1314" s="191">
        <f>SUM(F1310:F1313)</f>
        <v>27255</v>
      </c>
    </row>
    <row r="1315" spans="1:6" x14ac:dyDescent="0.25">
      <c r="A1315" s="192" t="s">
        <v>9</v>
      </c>
      <c r="B1315" s="193" t="s">
        <v>155</v>
      </c>
      <c r="C1315" s="194"/>
      <c r="D1315" s="194"/>
      <c r="E1315" s="194"/>
      <c r="F1315" s="195"/>
    </row>
    <row r="1316" spans="1:6" x14ac:dyDescent="0.25">
      <c r="A1316" s="202"/>
      <c r="B1316" s="179" t="s">
        <v>54</v>
      </c>
      <c r="C1316" s="180" t="s">
        <v>21</v>
      </c>
      <c r="D1316" s="181">
        <v>0.1</v>
      </c>
      <c r="E1316" s="204">
        <f>'HARGA BAHAN'!E87</f>
        <v>30000</v>
      </c>
      <c r="F1316" s="201">
        <f t="shared" ref="F1316:F1320" si="31">+D1316*E1316</f>
        <v>3000</v>
      </c>
    </row>
    <row r="1317" spans="1:6" x14ac:dyDescent="0.25">
      <c r="A1317" s="202"/>
      <c r="B1317" s="179" t="s">
        <v>293</v>
      </c>
      <c r="C1317" s="180" t="s">
        <v>21</v>
      </c>
      <c r="D1317" s="181">
        <v>0.1</v>
      </c>
      <c r="E1317" s="204">
        <f>'HARGA BAHAN'!E88</f>
        <v>62000</v>
      </c>
      <c r="F1317" s="201">
        <f t="shared" si="31"/>
        <v>6200</v>
      </c>
    </row>
    <row r="1318" spans="1:6" x14ac:dyDescent="0.25">
      <c r="A1318" s="202"/>
      <c r="B1318" s="179" t="s">
        <v>315</v>
      </c>
      <c r="C1318" s="180" t="s">
        <v>21</v>
      </c>
      <c r="D1318" s="181">
        <v>0.26</v>
      </c>
      <c r="E1318" s="204">
        <f>'HARGA BAHAN'!E91</f>
        <v>85000</v>
      </c>
      <c r="F1318" s="201">
        <f t="shared" si="31"/>
        <v>22100</v>
      </c>
    </row>
    <row r="1319" spans="1:6" x14ac:dyDescent="0.25">
      <c r="A1319" s="389"/>
      <c r="B1319" s="179" t="s">
        <v>298</v>
      </c>
      <c r="C1319" s="16" t="s">
        <v>213</v>
      </c>
      <c r="D1319" s="17">
        <v>0.01</v>
      </c>
      <c r="E1319" s="18">
        <f>'HARGA BAHAN'!E95</f>
        <v>35000</v>
      </c>
      <c r="F1319" s="19">
        <f t="shared" si="31"/>
        <v>350</v>
      </c>
    </row>
    <row r="1320" spans="1:6" ht="14.4" thickBot="1" x14ac:dyDescent="0.3">
      <c r="A1320" s="389"/>
      <c r="B1320" s="15" t="s">
        <v>289</v>
      </c>
      <c r="C1320" s="16" t="s">
        <v>290</v>
      </c>
      <c r="D1320" s="17">
        <v>0.03</v>
      </c>
      <c r="E1320" s="18">
        <f>'HARGA BAHAN'!E92</f>
        <v>30000</v>
      </c>
      <c r="F1320" s="19">
        <f t="shared" si="31"/>
        <v>900</v>
      </c>
    </row>
    <row r="1321" spans="1:6" ht="14.4" thickBot="1" x14ac:dyDescent="0.3">
      <c r="A1321" s="186"/>
      <c r="B1321" s="205"/>
      <c r="C1321" s="205"/>
      <c r="D1321" s="206" t="s">
        <v>10</v>
      </c>
      <c r="E1321" s="205"/>
      <c r="F1321" s="191">
        <f>SUM(F1316:F1320)</f>
        <v>32550</v>
      </c>
    </row>
    <row r="1322" spans="1:6" x14ac:dyDescent="0.25">
      <c r="A1322" s="192" t="s">
        <v>11</v>
      </c>
      <c r="B1322" s="193" t="s">
        <v>160</v>
      </c>
      <c r="C1322" s="194"/>
      <c r="D1322" s="194"/>
      <c r="E1322" s="194"/>
      <c r="F1322" s="195"/>
    </row>
    <row r="1323" spans="1:6" ht="14.4" thickBot="1" x14ac:dyDescent="0.3">
      <c r="A1323" s="207"/>
      <c r="B1323" s="208"/>
      <c r="C1323" s="209"/>
      <c r="D1323" s="210"/>
      <c r="E1323" s="211"/>
      <c r="F1323" s="212"/>
    </row>
    <row r="1324" spans="1:6" ht="14.4" thickBot="1" x14ac:dyDescent="0.3">
      <c r="A1324" s="186"/>
      <c r="B1324" s="187"/>
      <c r="C1324" s="188"/>
      <c r="D1324" s="189" t="s">
        <v>12</v>
      </c>
      <c r="E1324" s="190"/>
      <c r="F1324" s="191">
        <f>SUM(F1323)</f>
        <v>0</v>
      </c>
    </row>
    <row r="1325" spans="1:6" x14ac:dyDescent="0.25">
      <c r="A1325" s="192" t="s">
        <v>13</v>
      </c>
      <c r="B1325" s="193" t="s">
        <v>14</v>
      </c>
      <c r="C1325" s="213"/>
      <c r="D1325" s="213"/>
      <c r="E1325" s="214"/>
      <c r="F1325" s="215">
        <f>+F1314+F1321+F1324</f>
        <v>59805</v>
      </c>
    </row>
    <row r="1326" spans="1:6" x14ac:dyDescent="0.25">
      <c r="A1326" s="169" t="s">
        <v>15</v>
      </c>
      <c r="B1326" s="170" t="s">
        <v>51</v>
      </c>
      <c r="C1326" s="216"/>
      <c r="D1326" s="216"/>
      <c r="E1326" s="217"/>
      <c r="F1326" s="218">
        <f>F1325*15%</f>
        <v>8970.75</v>
      </c>
    </row>
    <row r="1327" spans="1:6" ht="14.4" thickBot="1" x14ac:dyDescent="0.3">
      <c r="A1327" s="219" t="s">
        <v>16</v>
      </c>
      <c r="B1327" s="220" t="s">
        <v>17</v>
      </c>
      <c r="C1327" s="221"/>
      <c r="D1327" s="221"/>
      <c r="E1327" s="222"/>
      <c r="F1327" s="223">
        <f>SUM(F1325:F1326)</f>
        <v>68775.75</v>
      </c>
    </row>
    <row r="1329" spans="1:6" ht="16.2" thickBot="1" x14ac:dyDescent="0.3">
      <c r="A1329" s="71" t="s">
        <v>71</v>
      </c>
      <c r="B1329" s="2" t="s">
        <v>137</v>
      </c>
      <c r="C1329" s="3"/>
      <c r="D1329" s="3"/>
      <c r="E1329" s="3"/>
      <c r="F1329" s="3"/>
    </row>
    <row r="1330" spans="1:6" ht="28.2" thickBot="1" x14ac:dyDescent="0.3">
      <c r="A1330" s="4" t="s">
        <v>2</v>
      </c>
      <c r="B1330" s="5" t="s">
        <v>3</v>
      </c>
      <c r="C1330" s="5" t="s">
        <v>0</v>
      </c>
      <c r="D1330" s="5" t="s">
        <v>4</v>
      </c>
      <c r="E1330" s="5" t="s">
        <v>5</v>
      </c>
      <c r="F1330" s="6" t="s">
        <v>6</v>
      </c>
    </row>
    <row r="1331" spans="1:6" x14ac:dyDescent="0.25">
      <c r="A1331" s="7">
        <v>1</v>
      </c>
      <c r="B1331" s="8">
        <v>2</v>
      </c>
      <c r="C1331" s="8">
        <v>3</v>
      </c>
      <c r="D1331" s="8">
        <v>4</v>
      </c>
      <c r="E1331" s="8">
        <v>5</v>
      </c>
      <c r="F1331" s="9">
        <v>6</v>
      </c>
    </row>
    <row r="1332" spans="1:6" x14ac:dyDescent="0.25">
      <c r="A1332" s="10" t="s">
        <v>1</v>
      </c>
      <c r="B1332" s="11" t="s">
        <v>76</v>
      </c>
      <c r="C1332" s="12"/>
      <c r="D1332" s="12"/>
      <c r="E1332" s="12"/>
      <c r="F1332" s="13"/>
    </row>
    <row r="1333" spans="1:6" x14ac:dyDescent="0.25">
      <c r="A1333" s="14"/>
      <c r="B1333" s="15" t="s">
        <v>40</v>
      </c>
      <c r="C1333" s="16" t="s">
        <v>7</v>
      </c>
      <c r="D1333" s="17">
        <v>1.4999999999999999E-2</v>
      </c>
      <c r="E1333" s="18">
        <f>'HARGA BAHAN'!E4</f>
        <v>125000</v>
      </c>
      <c r="F1333" s="19">
        <f>+D1333*E1333</f>
        <v>1875</v>
      </c>
    </row>
    <row r="1334" spans="1:6" x14ac:dyDescent="0.25">
      <c r="A1334" s="14"/>
      <c r="B1334" s="20" t="s">
        <v>86</v>
      </c>
      <c r="C1334" s="21" t="s">
        <v>7</v>
      </c>
      <c r="D1334" s="22">
        <v>0.15</v>
      </c>
      <c r="E1334" s="18">
        <f>'HARGA BAHAN'!E5</f>
        <v>160000</v>
      </c>
      <c r="F1334" s="19">
        <f>+D1334*E1334</f>
        <v>24000</v>
      </c>
    </row>
    <row r="1335" spans="1:6" x14ac:dyDescent="0.25">
      <c r="A1335" s="14"/>
      <c r="B1335" s="15" t="s">
        <v>87</v>
      </c>
      <c r="C1335" s="16" t="s">
        <v>7</v>
      </c>
      <c r="D1335" s="17">
        <v>1.4999999999999999E-2</v>
      </c>
      <c r="E1335" s="18">
        <f>'HARGA BAHAN'!E6</f>
        <v>180000</v>
      </c>
      <c r="F1335" s="19">
        <f>+D1335*E1335</f>
        <v>2700</v>
      </c>
    </row>
    <row r="1336" spans="1:6" ht="14.4" thickBot="1" x14ac:dyDescent="0.3">
      <c r="A1336" s="24"/>
      <c r="B1336" s="25" t="s">
        <v>42</v>
      </c>
      <c r="C1336" s="26" t="s">
        <v>7</v>
      </c>
      <c r="D1336" s="70">
        <v>8.0000000000000004E-4</v>
      </c>
      <c r="E1336" s="18">
        <f>'HARGA BAHAN'!E7</f>
        <v>175000</v>
      </c>
      <c r="F1336" s="19">
        <f>+D1336*E1336</f>
        <v>140</v>
      </c>
    </row>
    <row r="1337" spans="1:6" ht="14.4" thickBot="1" x14ac:dyDescent="0.3">
      <c r="A1337" s="28"/>
      <c r="B1337" s="29"/>
      <c r="C1337" s="30"/>
      <c r="D1337" s="31" t="s">
        <v>8</v>
      </c>
      <c r="E1337" s="32"/>
      <c r="F1337" s="33">
        <f>SUM(F1333:F1336)</f>
        <v>28715</v>
      </c>
    </row>
    <row r="1338" spans="1:6" x14ac:dyDescent="0.25">
      <c r="A1338" s="34" t="s">
        <v>9</v>
      </c>
      <c r="B1338" s="35" t="s">
        <v>77</v>
      </c>
      <c r="C1338" s="36"/>
      <c r="D1338" s="36"/>
      <c r="E1338" s="36"/>
      <c r="F1338" s="37"/>
    </row>
    <row r="1339" spans="1:6" ht="15.6" x14ac:dyDescent="0.25">
      <c r="A1339" s="38"/>
      <c r="B1339" s="39" t="s">
        <v>138</v>
      </c>
      <c r="C1339" s="40" t="s">
        <v>36</v>
      </c>
      <c r="D1339" s="41">
        <v>1.1000000000000001</v>
      </c>
      <c r="E1339" s="42">
        <f>'HARGA BAHAN'!E98</f>
        <v>785000</v>
      </c>
      <c r="F1339" s="19">
        <f>+D1339*E1339</f>
        <v>863500.00000000012</v>
      </c>
    </row>
    <row r="1340" spans="1:6" ht="14.4" thickBot="1" x14ac:dyDescent="0.3">
      <c r="A1340" s="63"/>
      <c r="B1340" s="64" t="s">
        <v>139</v>
      </c>
      <c r="C1340" s="65" t="s">
        <v>21</v>
      </c>
      <c r="D1340" s="66">
        <v>0.1</v>
      </c>
      <c r="E1340" s="67">
        <f>'HARGA BAHAN'!E99</f>
        <v>150000</v>
      </c>
      <c r="F1340" s="19">
        <f>+D1340*E1340</f>
        <v>15000</v>
      </c>
    </row>
    <row r="1341" spans="1:6" ht="14.4" thickBot="1" x14ac:dyDescent="0.3">
      <c r="A1341" s="28"/>
      <c r="B1341" s="44"/>
      <c r="C1341" s="44"/>
      <c r="D1341" s="45" t="s">
        <v>10</v>
      </c>
      <c r="E1341" s="44"/>
      <c r="F1341" s="33">
        <f>SUM(F1339:F1340)</f>
        <v>878500.00000000012</v>
      </c>
    </row>
    <row r="1342" spans="1:6" x14ac:dyDescent="0.25">
      <c r="A1342" s="34" t="s">
        <v>11</v>
      </c>
      <c r="B1342" s="35" t="s">
        <v>78</v>
      </c>
      <c r="C1342" s="36"/>
      <c r="D1342" s="36"/>
      <c r="E1342" s="36"/>
      <c r="F1342" s="37"/>
    </row>
    <row r="1343" spans="1:6" ht="14.4" thickBot="1" x14ac:dyDescent="0.3">
      <c r="A1343" s="46"/>
      <c r="B1343" s="47"/>
      <c r="C1343" s="48"/>
      <c r="D1343" s="49"/>
      <c r="E1343" s="50"/>
      <c r="F1343" s="51"/>
    </row>
    <row r="1344" spans="1:6" ht="14.4" thickBot="1" x14ac:dyDescent="0.3">
      <c r="A1344" s="28"/>
      <c r="B1344" s="29"/>
      <c r="C1344" s="30"/>
      <c r="D1344" s="31" t="s">
        <v>12</v>
      </c>
      <c r="E1344" s="32"/>
      <c r="F1344" s="33">
        <f>SUM(F1343)</f>
        <v>0</v>
      </c>
    </row>
    <row r="1345" spans="1:6" x14ac:dyDescent="0.25">
      <c r="A1345" s="34" t="s">
        <v>13</v>
      </c>
      <c r="B1345" s="35" t="s">
        <v>14</v>
      </c>
      <c r="C1345" s="52"/>
      <c r="D1345" s="52"/>
      <c r="E1345" s="53"/>
      <c r="F1345" s="54">
        <f>+F1337+F1341+F1344</f>
        <v>907215.00000000012</v>
      </c>
    </row>
    <row r="1346" spans="1:6" x14ac:dyDescent="0.25">
      <c r="A1346" s="10" t="s">
        <v>15</v>
      </c>
      <c r="B1346" s="11" t="s">
        <v>51</v>
      </c>
      <c r="C1346" s="55"/>
      <c r="D1346" s="55"/>
      <c r="E1346" s="56"/>
      <c r="F1346" s="57">
        <f>F1345*15%</f>
        <v>136082.25</v>
      </c>
    </row>
    <row r="1347" spans="1:6" ht="14.4" thickBot="1" x14ac:dyDescent="0.3">
      <c r="A1347" s="58" t="s">
        <v>16</v>
      </c>
      <c r="B1347" s="59" t="s">
        <v>17</v>
      </c>
      <c r="C1347" s="60"/>
      <c r="D1347" s="60"/>
      <c r="E1347" s="61"/>
      <c r="F1347" s="62">
        <f>SUM(F1345:F1346)</f>
        <v>1043297.2500000001</v>
      </c>
    </row>
    <row r="1349" spans="1:6" ht="16.2" thickBot="1" x14ac:dyDescent="0.3">
      <c r="A1349" s="71" t="s">
        <v>70</v>
      </c>
      <c r="B1349" s="2" t="s">
        <v>140</v>
      </c>
      <c r="C1349" s="3"/>
      <c r="D1349" s="3"/>
      <c r="E1349" s="3"/>
      <c r="F1349" s="3"/>
    </row>
    <row r="1350" spans="1:6" ht="28.2" thickBot="1" x14ac:dyDescent="0.3">
      <c r="A1350" s="4" t="s">
        <v>2</v>
      </c>
      <c r="B1350" s="5" t="s">
        <v>3</v>
      </c>
      <c r="C1350" s="5" t="s">
        <v>0</v>
      </c>
      <c r="D1350" s="5" t="s">
        <v>4</v>
      </c>
      <c r="E1350" s="5" t="s">
        <v>5</v>
      </c>
      <c r="F1350" s="6" t="s">
        <v>6</v>
      </c>
    </row>
    <row r="1351" spans="1:6" x14ac:dyDescent="0.25">
      <c r="A1351" s="7">
        <v>1</v>
      </c>
      <c r="B1351" s="8">
        <v>2</v>
      </c>
      <c r="C1351" s="8">
        <v>3</v>
      </c>
      <c r="D1351" s="8">
        <v>4</v>
      </c>
      <c r="E1351" s="8">
        <v>5</v>
      </c>
      <c r="F1351" s="9">
        <v>6</v>
      </c>
    </row>
    <row r="1352" spans="1:6" x14ac:dyDescent="0.25">
      <c r="A1352" s="10" t="s">
        <v>1</v>
      </c>
      <c r="B1352" s="11" t="s">
        <v>76</v>
      </c>
      <c r="C1352" s="12"/>
      <c r="D1352" s="12"/>
      <c r="E1352" s="12"/>
      <c r="F1352" s="13"/>
    </row>
    <row r="1353" spans="1:6" x14ac:dyDescent="0.25">
      <c r="A1353" s="14"/>
      <c r="B1353" s="15" t="s">
        <v>40</v>
      </c>
      <c r="C1353" s="16" t="s">
        <v>7</v>
      </c>
      <c r="D1353" s="17">
        <v>2.5000000000000001E-2</v>
      </c>
      <c r="E1353" s="18">
        <f>'HARGA BAHAN'!E4</f>
        <v>125000</v>
      </c>
      <c r="F1353" s="19">
        <f>+D1353*E1353</f>
        <v>3125</v>
      </c>
    </row>
    <row r="1354" spans="1:6" x14ac:dyDescent="0.25">
      <c r="A1354" s="14"/>
      <c r="B1354" s="20" t="s">
        <v>86</v>
      </c>
      <c r="C1354" s="21" t="s">
        <v>7</v>
      </c>
      <c r="D1354" s="22">
        <v>0.25</v>
      </c>
      <c r="E1354" s="18">
        <f>'HARGA BAHAN'!E5</f>
        <v>160000</v>
      </c>
      <c r="F1354" s="19">
        <f>+D1354*E1354</f>
        <v>40000</v>
      </c>
    </row>
    <row r="1355" spans="1:6" x14ac:dyDescent="0.25">
      <c r="A1355" s="14"/>
      <c r="B1355" s="15" t="s">
        <v>87</v>
      </c>
      <c r="C1355" s="16" t="s">
        <v>7</v>
      </c>
      <c r="D1355" s="17">
        <v>2.5000000000000001E-2</v>
      </c>
      <c r="E1355" s="18">
        <f>'HARGA BAHAN'!E6</f>
        <v>180000</v>
      </c>
      <c r="F1355" s="19">
        <f>+D1355*E1355</f>
        <v>4500</v>
      </c>
    </row>
    <row r="1356" spans="1:6" ht="14.4" thickBot="1" x14ac:dyDescent="0.3">
      <c r="A1356" s="24"/>
      <c r="B1356" s="25" t="s">
        <v>42</v>
      </c>
      <c r="C1356" s="26" t="s">
        <v>7</v>
      </c>
      <c r="D1356" s="70">
        <v>1.2999999999999999E-3</v>
      </c>
      <c r="E1356" s="18">
        <f>'HARGA BAHAN'!E7</f>
        <v>175000</v>
      </c>
      <c r="F1356" s="19">
        <f>+D1356*E1356</f>
        <v>227.5</v>
      </c>
    </row>
    <row r="1357" spans="1:6" ht="14.4" thickBot="1" x14ac:dyDescent="0.3">
      <c r="A1357" s="28"/>
      <c r="B1357" s="29"/>
      <c r="C1357" s="30"/>
      <c r="D1357" s="31" t="s">
        <v>8</v>
      </c>
      <c r="E1357" s="32"/>
      <c r="F1357" s="33">
        <f>SUM(F1353:F1356)</f>
        <v>47852.5</v>
      </c>
    </row>
    <row r="1358" spans="1:6" x14ac:dyDescent="0.25">
      <c r="A1358" s="34" t="s">
        <v>9</v>
      </c>
      <c r="B1358" s="35" t="s">
        <v>77</v>
      </c>
      <c r="C1358" s="36"/>
      <c r="D1358" s="36"/>
      <c r="E1358" s="36"/>
      <c r="F1358" s="37"/>
    </row>
    <row r="1359" spans="1:6" ht="15.6" x14ac:dyDescent="0.25">
      <c r="A1359" s="38"/>
      <c r="B1359" s="39" t="s">
        <v>141</v>
      </c>
      <c r="C1359" s="40" t="s">
        <v>36</v>
      </c>
      <c r="D1359" s="41">
        <v>1.1000000000000001</v>
      </c>
      <c r="E1359" s="42">
        <f>'HARGA BAHAN'!E119</f>
        <v>2623700</v>
      </c>
      <c r="F1359" s="19">
        <f>+D1359*E1359</f>
        <v>2886070.0000000005</v>
      </c>
    </row>
    <row r="1360" spans="1:6" ht="14.4" thickBot="1" x14ac:dyDescent="0.3">
      <c r="A1360" s="63"/>
      <c r="B1360" s="64" t="s">
        <v>139</v>
      </c>
      <c r="C1360" s="65" t="s">
        <v>21</v>
      </c>
      <c r="D1360" s="66">
        <v>7.0000000000000007E-2</v>
      </c>
      <c r="E1360" s="67">
        <f>'HARGA BAHAN'!E99</f>
        <v>150000</v>
      </c>
      <c r="F1360" s="19">
        <f>+D1360*E1360</f>
        <v>10500.000000000002</v>
      </c>
    </row>
    <row r="1361" spans="1:6" ht="14.4" thickBot="1" x14ac:dyDescent="0.3">
      <c r="A1361" s="28"/>
      <c r="B1361" s="44"/>
      <c r="C1361" s="44"/>
      <c r="D1361" s="45" t="s">
        <v>10</v>
      </c>
      <c r="E1361" s="44"/>
      <c r="F1361" s="33">
        <f>SUM(F1359:F1360)</f>
        <v>2896570.0000000005</v>
      </c>
    </row>
    <row r="1362" spans="1:6" x14ac:dyDescent="0.25">
      <c r="A1362" s="34" t="s">
        <v>11</v>
      </c>
      <c r="B1362" s="35" t="s">
        <v>78</v>
      </c>
      <c r="C1362" s="36"/>
      <c r="D1362" s="36"/>
      <c r="E1362" s="36"/>
      <c r="F1362" s="37"/>
    </row>
    <row r="1363" spans="1:6" ht="14.4" thickBot="1" x14ac:dyDescent="0.3">
      <c r="A1363" s="46"/>
      <c r="B1363" s="47"/>
      <c r="C1363" s="48"/>
      <c r="D1363" s="49"/>
      <c r="E1363" s="50"/>
      <c r="F1363" s="51"/>
    </row>
    <row r="1364" spans="1:6" ht="14.4" thickBot="1" x14ac:dyDescent="0.3">
      <c r="A1364" s="28"/>
      <c r="B1364" s="29"/>
      <c r="C1364" s="30"/>
      <c r="D1364" s="31" t="s">
        <v>12</v>
      </c>
      <c r="E1364" s="32"/>
      <c r="F1364" s="33">
        <f>SUM(F1363)</f>
        <v>0</v>
      </c>
    </row>
    <row r="1365" spans="1:6" x14ac:dyDescent="0.25">
      <c r="A1365" s="34" t="s">
        <v>13</v>
      </c>
      <c r="B1365" s="35" t="s">
        <v>14</v>
      </c>
      <c r="C1365" s="52"/>
      <c r="D1365" s="52"/>
      <c r="E1365" s="53"/>
      <c r="F1365" s="54">
        <f>+F1357+F1361+F1364</f>
        <v>2944422.5000000005</v>
      </c>
    </row>
    <row r="1366" spans="1:6" x14ac:dyDescent="0.25">
      <c r="A1366" s="10" t="s">
        <v>15</v>
      </c>
      <c r="B1366" s="11" t="s">
        <v>51</v>
      </c>
      <c r="C1366" s="55"/>
      <c r="D1366" s="55"/>
      <c r="E1366" s="56"/>
      <c r="F1366" s="57">
        <f>F1365*15%</f>
        <v>441663.37500000006</v>
      </c>
    </row>
    <row r="1367" spans="1:6" ht="14.4" thickBot="1" x14ac:dyDescent="0.3">
      <c r="A1367" s="58" t="s">
        <v>16</v>
      </c>
      <c r="B1367" s="59" t="s">
        <v>17</v>
      </c>
      <c r="C1367" s="60"/>
      <c r="D1367" s="60"/>
      <c r="E1367" s="61"/>
      <c r="F1367" s="62">
        <f>SUM(F1365:F1366)</f>
        <v>3386085.8750000005</v>
      </c>
    </row>
    <row r="1369" spans="1:6" ht="14.4" thickBot="1" x14ac:dyDescent="0.3">
      <c r="A1369" s="426" t="s">
        <v>304</v>
      </c>
      <c r="B1369" s="427" t="s">
        <v>305</v>
      </c>
      <c r="C1369" s="428"/>
      <c r="D1369" s="428"/>
      <c r="E1369" s="428"/>
      <c r="F1369" s="428"/>
    </row>
    <row r="1370" spans="1:6" ht="28.2" thickBot="1" x14ac:dyDescent="0.3">
      <c r="A1370" s="429" t="s">
        <v>2</v>
      </c>
      <c r="B1370" s="430" t="s">
        <v>3</v>
      </c>
      <c r="C1370" s="430" t="s">
        <v>0</v>
      </c>
      <c r="D1370" s="430" t="s">
        <v>4</v>
      </c>
      <c r="E1370" s="430" t="s">
        <v>5</v>
      </c>
      <c r="F1370" s="431" t="s">
        <v>6</v>
      </c>
    </row>
    <row r="1371" spans="1:6" x14ac:dyDescent="0.25">
      <c r="A1371" s="432">
        <v>1</v>
      </c>
      <c r="B1371" s="433">
        <v>2</v>
      </c>
      <c r="C1371" s="433">
        <v>3</v>
      </c>
      <c r="D1371" s="433">
        <v>4</v>
      </c>
      <c r="E1371" s="433">
        <v>5</v>
      </c>
      <c r="F1371" s="434">
        <v>6</v>
      </c>
    </row>
    <row r="1372" spans="1:6" x14ac:dyDescent="0.25">
      <c r="A1372" s="435" t="s">
        <v>1</v>
      </c>
      <c r="B1372" s="436" t="s">
        <v>150</v>
      </c>
      <c r="C1372" s="437"/>
      <c r="D1372" s="437"/>
      <c r="E1372" s="437"/>
      <c r="F1372" s="438"/>
    </row>
    <row r="1373" spans="1:6" x14ac:dyDescent="0.25">
      <c r="A1373" s="439"/>
      <c r="B1373" s="440" t="s">
        <v>151</v>
      </c>
      <c r="C1373" s="441" t="s">
        <v>7</v>
      </c>
      <c r="D1373" s="442">
        <v>0.15</v>
      </c>
      <c r="E1373" s="443">
        <f>'HARGA BAHAN'!E4</f>
        <v>125000</v>
      </c>
      <c r="F1373" s="444">
        <f t="shared" ref="F1373:F1374" si="32">+D1373*E1373</f>
        <v>18750</v>
      </c>
    </row>
    <row r="1374" spans="1:6" ht="14.4" thickBot="1" x14ac:dyDescent="0.3">
      <c r="A1374" s="445"/>
      <c r="B1374" s="446" t="s">
        <v>154</v>
      </c>
      <c r="C1374" s="447" t="s">
        <v>7</v>
      </c>
      <c r="D1374" s="448">
        <v>3.0000000000000001E-3</v>
      </c>
      <c r="E1374" s="443">
        <f>'HARGA BAHAN'!E7</f>
        <v>175000</v>
      </c>
      <c r="F1374" s="449">
        <f t="shared" si="32"/>
        <v>525</v>
      </c>
    </row>
    <row r="1375" spans="1:6" ht="14.4" thickBot="1" x14ac:dyDescent="0.3">
      <c r="A1375" s="450"/>
      <c r="B1375" s="451"/>
      <c r="C1375" s="452"/>
      <c r="D1375" s="453" t="s">
        <v>8</v>
      </c>
      <c r="E1375" s="454"/>
      <c r="F1375" s="455">
        <f>SUM(F1373:F1374)</f>
        <v>19275</v>
      </c>
    </row>
    <row r="1376" spans="1:6" x14ac:dyDescent="0.25">
      <c r="A1376" s="456" t="s">
        <v>9</v>
      </c>
      <c r="B1376" s="457" t="s">
        <v>155</v>
      </c>
      <c r="C1376" s="458"/>
      <c r="D1376" s="458"/>
      <c r="E1376" s="458"/>
      <c r="F1376" s="459"/>
    </row>
    <row r="1377" spans="1:6" x14ac:dyDescent="0.25">
      <c r="A1377" s="460"/>
      <c r="B1377" s="461" t="s">
        <v>306</v>
      </c>
      <c r="C1377" s="462" t="s">
        <v>21</v>
      </c>
      <c r="D1377" s="463">
        <v>0.05</v>
      </c>
      <c r="E1377" s="464">
        <f>'HARGA BAHAN'!E100</f>
        <v>83850</v>
      </c>
      <c r="F1377" s="465">
        <f t="shared" ref="F1377" si="33">+D1377*E1377</f>
        <v>4192.5</v>
      </c>
    </row>
    <row r="1378" spans="1:6" ht="14.4" thickBot="1" x14ac:dyDescent="0.3">
      <c r="A1378" s="460"/>
      <c r="B1378" s="461"/>
      <c r="C1378" s="462"/>
      <c r="D1378" s="463"/>
      <c r="E1378" s="464"/>
      <c r="F1378" s="465"/>
    </row>
    <row r="1379" spans="1:6" ht="14.4" thickBot="1" x14ac:dyDescent="0.3">
      <c r="A1379" s="450"/>
      <c r="B1379" s="466"/>
      <c r="C1379" s="466"/>
      <c r="D1379" s="467" t="s">
        <v>10</v>
      </c>
      <c r="E1379" s="466"/>
      <c r="F1379" s="455">
        <f>SUM(F1377:F1378)</f>
        <v>4192.5</v>
      </c>
    </row>
    <row r="1380" spans="1:6" x14ac:dyDescent="0.25">
      <c r="A1380" s="456" t="s">
        <v>11</v>
      </c>
      <c r="B1380" s="457" t="s">
        <v>160</v>
      </c>
      <c r="C1380" s="458"/>
      <c r="D1380" s="458"/>
      <c r="E1380" s="458"/>
      <c r="F1380" s="459"/>
    </row>
    <row r="1381" spans="1:6" ht="14.4" thickBot="1" x14ac:dyDescent="0.3">
      <c r="A1381" s="468"/>
      <c r="B1381" s="469"/>
      <c r="C1381" s="470"/>
      <c r="D1381" s="471"/>
      <c r="E1381" s="472"/>
      <c r="F1381" s="473"/>
    </row>
    <row r="1382" spans="1:6" ht="14.4" thickBot="1" x14ac:dyDescent="0.3">
      <c r="A1382" s="450"/>
      <c r="B1382" s="451"/>
      <c r="C1382" s="452"/>
      <c r="D1382" s="453" t="s">
        <v>12</v>
      </c>
      <c r="E1382" s="454"/>
      <c r="F1382" s="455">
        <f>SUM(F1381)</f>
        <v>0</v>
      </c>
    </row>
    <row r="1383" spans="1:6" x14ac:dyDescent="0.25">
      <c r="A1383" s="456" t="s">
        <v>13</v>
      </c>
      <c r="B1383" s="457" t="s">
        <v>14</v>
      </c>
      <c r="C1383" s="474"/>
      <c r="D1383" s="474"/>
      <c r="E1383" s="475"/>
      <c r="F1383" s="476">
        <f>+F1375+F1379+F1382</f>
        <v>23467.5</v>
      </c>
    </row>
    <row r="1384" spans="1:6" x14ac:dyDescent="0.25">
      <c r="A1384" s="435" t="s">
        <v>15</v>
      </c>
      <c r="B1384" s="436" t="s">
        <v>51</v>
      </c>
      <c r="C1384" s="477"/>
      <c r="D1384" s="477"/>
      <c r="E1384" s="478"/>
      <c r="F1384" s="479">
        <f>F1383*15%</f>
        <v>3520.125</v>
      </c>
    </row>
    <row r="1385" spans="1:6" ht="14.4" thickBot="1" x14ac:dyDescent="0.3">
      <c r="A1385" s="480" t="s">
        <v>16</v>
      </c>
      <c r="B1385" s="481" t="s">
        <v>17</v>
      </c>
      <c r="C1385" s="482"/>
      <c r="D1385" s="482"/>
      <c r="E1385" s="483"/>
      <c r="F1385" s="484">
        <f>SUM(F1383:F1384)</f>
        <v>26987.625</v>
      </c>
    </row>
    <row r="1387" spans="1:6" ht="16.2" thickBot="1" x14ac:dyDescent="0.3">
      <c r="A1387" s="71" t="s">
        <v>149</v>
      </c>
      <c r="B1387" s="2" t="s">
        <v>164</v>
      </c>
      <c r="C1387" s="3"/>
      <c r="D1387" s="3"/>
      <c r="E1387" s="3"/>
      <c r="F1387" s="3"/>
    </row>
    <row r="1388" spans="1:6" ht="28.2" thickBot="1" x14ac:dyDescent="0.3">
      <c r="A1388" s="4" t="s">
        <v>2</v>
      </c>
      <c r="B1388" s="5" t="s">
        <v>3</v>
      </c>
      <c r="C1388" s="5" t="s">
        <v>0</v>
      </c>
      <c r="D1388" s="5" t="s">
        <v>4</v>
      </c>
      <c r="E1388" s="5" t="s">
        <v>5</v>
      </c>
      <c r="F1388" s="6" t="s">
        <v>6</v>
      </c>
    </row>
    <row r="1389" spans="1:6" x14ac:dyDescent="0.25">
      <c r="A1389" s="7">
        <v>1</v>
      </c>
      <c r="B1389" s="8">
        <v>2</v>
      </c>
      <c r="C1389" s="8">
        <v>3</v>
      </c>
      <c r="D1389" s="8">
        <v>4</v>
      </c>
      <c r="E1389" s="8">
        <v>5</v>
      </c>
      <c r="F1389" s="9">
        <v>6</v>
      </c>
    </row>
    <row r="1390" spans="1:6" x14ac:dyDescent="0.25">
      <c r="A1390" s="10" t="s">
        <v>1</v>
      </c>
      <c r="B1390" s="11" t="s">
        <v>150</v>
      </c>
      <c r="C1390" s="12"/>
      <c r="D1390" s="12"/>
      <c r="E1390" s="12"/>
      <c r="F1390" s="13"/>
    </row>
    <row r="1391" spans="1:6" x14ac:dyDescent="0.25">
      <c r="A1391" s="14"/>
      <c r="B1391" s="15" t="s">
        <v>151</v>
      </c>
      <c r="C1391" s="16" t="s">
        <v>7</v>
      </c>
      <c r="D1391" s="17">
        <v>0.38300000000000001</v>
      </c>
      <c r="E1391" s="18">
        <f>'HARGA BAHAN'!E4</f>
        <v>125000</v>
      </c>
      <c r="F1391" s="19">
        <f>+D1391*E1391</f>
        <v>47875</v>
      </c>
    </row>
    <row r="1392" spans="1:6" x14ac:dyDescent="0.25">
      <c r="A1392" s="14"/>
      <c r="B1392" s="20" t="s">
        <v>152</v>
      </c>
      <c r="C1392" s="21" t="s">
        <v>7</v>
      </c>
      <c r="D1392" s="22">
        <v>0.38300000000000001</v>
      </c>
      <c r="E1392" s="18">
        <f>'HARGA BAHAN'!E5</f>
        <v>160000</v>
      </c>
      <c r="F1392" s="19">
        <f t="shared" ref="F1392:F1394" si="34">+D1392*E1392</f>
        <v>61280</v>
      </c>
    </row>
    <row r="1393" spans="1:6" x14ac:dyDescent="0.25">
      <c r="A1393" s="14"/>
      <c r="B1393" s="15" t="s">
        <v>153</v>
      </c>
      <c r="C1393" s="16" t="s">
        <v>7</v>
      </c>
      <c r="D1393" s="17">
        <v>3.7999999999999999E-2</v>
      </c>
      <c r="E1393" s="18">
        <f>'HARGA BAHAN'!E6</f>
        <v>180000</v>
      </c>
      <c r="F1393" s="19">
        <f t="shared" si="34"/>
        <v>6840</v>
      </c>
    </row>
    <row r="1394" spans="1:6" ht="14.4" thickBot="1" x14ac:dyDescent="0.3">
      <c r="A1394" s="24"/>
      <c r="B1394" s="25" t="s">
        <v>154</v>
      </c>
      <c r="C1394" s="26" t="s">
        <v>7</v>
      </c>
      <c r="D1394" s="27">
        <v>1.9E-2</v>
      </c>
      <c r="E1394" s="18">
        <f>'HARGA BAHAN'!E7</f>
        <v>175000</v>
      </c>
      <c r="F1394" s="19">
        <f t="shared" si="34"/>
        <v>3325</v>
      </c>
    </row>
    <row r="1395" spans="1:6" ht="14.4" thickBot="1" x14ac:dyDescent="0.3">
      <c r="A1395" s="28"/>
      <c r="B1395" s="29"/>
      <c r="C1395" s="30"/>
      <c r="D1395" s="31" t="s">
        <v>8</v>
      </c>
      <c r="E1395" s="32"/>
      <c r="F1395" s="33">
        <f>SUM(F1391:F1394)</f>
        <v>119320</v>
      </c>
    </row>
    <row r="1396" spans="1:6" x14ac:dyDescent="0.25">
      <c r="A1396" s="34" t="s">
        <v>9</v>
      </c>
      <c r="B1396" s="35" t="s">
        <v>155</v>
      </c>
      <c r="C1396" s="36"/>
      <c r="D1396" s="36"/>
      <c r="E1396" s="36"/>
      <c r="F1396" s="37"/>
    </row>
    <row r="1397" spans="1:6" x14ac:dyDescent="0.25">
      <c r="A1397" s="38"/>
      <c r="B1397" s="39" t="s">
        <v>156</v>
      </c>
      <c r="C1397" s="40" t="s">
        <v>157</v>
      </c>
      <c r="D1397" s="41">
        <v>36.67</v>
      </c>
      <c r="E1397" s="42">
        <f>'HARGA BAHAN'!E120</f>
        <v>10384.5</v>
      </c>
      <c r="F1397" s="43">
        <f t="shared" ref="F1397:F1398" si="35">+D1397*E1397</f>
        <v>380799.61499999999</v>
      </c>
    </row>
    <row r="1398" spans="1:6" ht="14.4" thickBot="1" x14ac:dyDescent="0.3">
      <c r="A1398" s="63"/>
      <c r="B1398" s="64" t="s">
        <v>158</v>
      </c>
      <c r="C1398" s="65" t="s">
        <v>159</v>
      </c>
      <c r="D1398" s="66">
        <v>216</v>
      </c>
      <c r="E1398" s="83">
        <f>'HARGA BAHAN'!E122</f>
        <v>500</v>
      </c>
      <c r="F1398" s="74">
        <f t="shared" si="35"/>
        <v>108000</v>
      </c>
    </row>
    <row r="1399" spans="1:6" ht="14.4" thickBot="1" x14ac:dyDescent="0.3">
      <c r="A1399" s="28"/>
      <c r="B1399" s="44"/>
      <c r="C1399" s="44"/>
      <c r="D1399" s="45" t="s">
        <v>10</v>
      </c>
      <c r="E1399" s="44"/>
      <c r="F1399" s="33">
        <f>SUM(F1397:F1398)</f>
        <v>488799.61499999999</v>
      </c>
    </row>
    <row r="1400" spans="1:6" x14ac:dyDescent="0.25">
      <c r="A1400" s="34" t="s">
        <v>11</v>
      </c>
      <c r="B1400" s="35" t="s">
        <v>160</v>
      </c>
      <c r="C1400" s="36"/>
      <c r="D1400" s="36"/>
      <c r="E1400" s="36"/>
      <c r="F1400" s="37"/>
    </row>
    <row r="1401" spans="1:6" ht="14.4" thickBot="1" x14ac:dyDescent="0.3">
      <c r="A1401" s="46"/>
      <c r="B1401" s="47"/>
      <c r="C1401" s="48"/>
      <c r="D1401" s="49"/>
      <c r="E1401" s="50"/>
      <c r="F1401" s="51"/>
    </row>
    <row r="1402" spans="1:6" ht="14.4" thickBot="1" x14ac:dyDescent="0.3">
      <c r="A1402" s="28"/>
      <c r="B1402" s="29"/>
      <c r="C1402" s="30"/>
      <c r="D1402" s="31" t="s">
        <v>12</v>
      </c>
      <c r="E1402" s="32"/>
      <c r="F1402" s="33">
        <f>SUM(F1401)</f>
        <v>0</v>
      </c>
    </row>
    <row r="1403" spans="1:6" x14ac:dyDescent="0.25">
      <c r="A1403" s="34" t="s">
        <v>13</v>
      </c>
      <c r="B1403" s="35" t="s">
        <v>14</v>
      </c>
      <c r="C1403" s="52"/>
      <c r="D1403" s="52"/>
      <c r="E1403" s="53"/>
      <c r="F1403" s="54">
        <f>+F1395+F1399+F1402</f>
        <v>608119.61499999999</v>
      </c>
    </row>
    <row r="1404" spans="1:6" x14ac:dyDescent="0.25">
      <c r="A1404" s="10" t="s">
        <v>15</v>
      </c>
      <c r="B1404" s="11" t="s">
        <v>51</v>
      </c>
      <c r="C1404" s="55"/>
      <c r="D1404" s="55"/>
      <c r="E1404" s="56"/>
      <c r="F1404" s="57">
        <f>F1403*15%</f>
        <v>91217.942249999993</v>
      </c>
    </row>
    <row r="1405" spans="1:6" x14ac:dyDescent="0.25">
      <c r="A1405" s="10" t="s">
        <v>16</v>
      </c>
      <c r="B1405" s="11" t="s">
        <v>17</v>
      </c>
      <c r="C1405" s="55"/>
      <c r="D1405" s="55"/>
      <c r="E1405" s="56"/>
      <c r="F1405" s="57">
        <f>SUM(F1403:F1404)</f>
        <v>699337.55724999995</v>
      </c>
    </row>
    <row r="1406" spans="1:6" ht="14.4" thickBot="1" x14ac:dyDescent="0.3">
      <c r="A1406" s="139"/>
      <c r="B1406" s="140" t="s">
        <v>161</v>
      </c>
      <c r="C1406" s="141"/>
      <c r="D1406" s="141"/>
      <c r="E1406" s="142"/>
      <c r="F1406" s="143">
        <f>+F1405/10</f>
        <v>69933.755724999995</v>
      </c>
    </row>
    <row r="1408" spans="1:6" ht="14.4" thickBot="1" x14ac:dyDescent="0.3">
      <c r="A1408" s="71" t="s">
        <v>307</v>
      </c>
      <c r="B1408" s="2" t="s">
        <v>308</v>
      </c>
      <c r="C1408" s="3"/>
      <c r="D1408" s="3"/>
      <c r="E1408" s="3"/>
      <c r="F1408" s="3"/>
    </row>
    <row r="1409" spans="1:6" ht="28.2" thickBot="1" x14ac:dyDescent="0.3">
      <c r="A1409" s="4" t="s">
        <v>2</v>
      </c>
      <c r="B1409" s="5" t="s">
        <v>3</v>
      </c>
      <c r="C1409" s="5" t="s">
        <v>0</v>
      </c>
      <c r="D1409" s="5" t="s">
        <v>4</v>
      </c>
      <c r="E1409" s="5" t="s">
        <v>5</v>
      </c>
      <c r="F1409" s="6" t="s">
        <v>6</v>
      </c>
    </row>
    <row r="1410" spans="1:6" x14ac:dyDescent="0.25">
      <c r="A1410" s="7">
        <v>1</v>
      </c>
      <c r="B1410" s="8">
        <v>2</v>
      </c>
      <c r="C1410" s="8">
        <v>3</v>
      </c>
      <c r="D1410" s="8">
        <v>4</v>
      </c>
      <c r="E1410" s="8">
        <v>5</v>
      </c>
      <c r="F1410" s="9">
        <v>6</v>
      </c>
    </row>
    <row r="1411" spans="1:6" x14ac:dyDescent="0.25">
      <c r="A1411" s="10" t="s">
        <v>1</v>
      </c>
      <c r="B1411" s="11" t="s">
        <v>76</v>
      </c>
      <c r="C1411" s="12"/>
      <c r="D1411" s="12"/>
      <c r="E1411" s="12"/>
      <c r="F1411" s="13"/>
    </row>
    <row r="1412" spans="1:6" x14ac:dyDescent="0.25">
      <c r="A1412" s="14"/>
      <c r="B1412" s="15" t="s">
        <v>40</v>
      </c>
      <c r="C1412" s="16" t="s">
        <v>7</v>
      </c>
      <c r="D1412" s="17">
        <v>0.01</v>
      </c>
      <c r="E1412" s="18">
        <f>'HARGA BAHAN'!E4</f>
        <v>125000</v>
      </c>
      <c r="F1412" s="19">
        <f>+D1412*E1412</f>
        <v>1250</v>
      </c>
    </row>
    <row r="1413" spans="1:6" x14ac:dyDescent="0.25">
      <c r="A1413" s="14"/>
      <c r="B1413" s="20" t="s">
        <v>41</v>
      </c>
      <c r="C1413" s="21" t="s">
        <v>7</v>
      </c>
      <c r="D1413" s="22">
        <v>0.4</v>
      </c>
      <c r="E1413" s="18">
        <f>'HARGA BAHAN'!E5</f>
        <v>160000</v>
      </c>
      <c r="F1413" s="19">
        <f>+D1413*E1413</f>
        <v>64000</v>
      </c>
    </row>
    <row r="1414" spans="1:6" x14ac:dyDescent="0.25">
      <c r="A1414" s="14"/>
      <c r="B1414" s="15" t="s">
        <v>87</v>
      </c>
      <c r="C1414" s="16" t="s">
        <v>7</v>
      </c>
      <c r="D1414" s="17">
        <v>0.04</v>
      </c>
      <c r="E1414" s="18">
        <f>'HARGA BAHAN'!E6</f>
        <v>180000</v>
      </c>
      <c r="F1414" s="19">
        <f>+D1414*E1414</f>
        <v>7200</v>
      </c>
    </row>
    <row r="1415" spans="1:6" ht="14.4" thickBot="1" x14ac:dyDescent="0.3">
      <c r="A1415" s="24"/>
      <c r="B1415" s="25" t="s">
        <v>42</v>
      </c>
      <c r="C1415" s="26" t="s">
        <v>7</v>
      </c>
      <c r="D1415" s="27">
        <v>5.0000000000000001E-3</v>
      </c>
      <c r="E1415" s="18">
        <f>'HARGA BAHAN'!E7</f>
        <v>175000</v>
      </c>
      <c r="F1415" s="19">
        <f>+D1415*E1415</f>
        <v>875</v>
      </c>
    </row>
    <row r="1416" spans="1:6" ht="14.4" thickBot="1" x14ac:dyDescent="0.3">
      <c r="A1416" s="28"/>
      <c r="B1416" s="29"/>
      <c r="C1416" s="30"/>
      <c r="D1416" s="31" t="s">
        <v>8</v>
      </c>
      <c r="E1416" s="32"/>
      <c r="F1416" s="33">
        <f>SUM(F1412:F1415)</f>
        <v>73325</v>
      </c>
    </row>
    <row r="1417" spans="1:6" x14ac:dyDescent="0.25">
      <c r="A1417" s="34" t="s">
        <v>9</v>
      </c>
      <c r="B1417" s="35" t="s">
        <v>77</v>
      </c>
      <c r="C1417" s="36"/>
      <c r="D1417" s="36"/>
      <c r="E1417" s="36"/>
      <c r="F1417" s="37"/>
    </row>
    <row r="1418" spans="1:6" x14ac:dyDescent="0.25">
      <c r="A1418" s="38"/>
      <c r="B1418" s="39" t="s">
        <v>309</v>
      </c>
      <c r="C1418" s="40" t="s">
        <v>159</v>
      </c>
      <c r="D1418" s="75">
        <v>1</v>
      </c>
      <c r="E1418" s="42">
        <f>'HARGA BAHAN'!E108</f>
        <v>180000</v>
      </c>
      <c r="F1418" s="43">
        <f>+D1418*E1418</f>
        <v>180000</v>
      </c>
    </row>
    <row r="1419" spans="1:6" ht="14.4" thickBot="1" x14ac:dyDescent="0.3">
      <c r="A1419" s="68"/>
      <c r="B1419" s="20" t="s">
        <v>310</v>
      </c>
      <c r="C1419" s="21" t="s">
        <v>20</v>
      </c>
      <c r="D1419" s="76">
        <v>2.5000000000000001E-2</v>
      </c>
      <c r="E1419" s="23">
        <f>'HARGA BAHAN'!E114</f>
        <v>7600</v>
      </c>
      <c r="F1419" s="19">
        <f>+D1419*E1419</f>
        <v>190</v>
      </c>
    </row>
    <row r="1420" spans="1:6" ht="14.4" thickBot="1" x14ac:dyDescent="0.3">
      <c r="A1420" s="28"/>
      <c r="B1420" s="44"/>
      <c r="C1420" s="44"/>
      <c r="D1420" s="45" t="s">
        <v>10</v>
      </c>
      <c r="E1420" s="44"/>
      <c r="F1420" s="33">
        <f>SUM(F1418:F1419)</f>
        <v>180190</v>
      </c>
    </row>
    <row r="1421" spans="1:6" x14ac:dyDescent="0.25">
      <c r="A1421" s="34" t="s">
        <v>11</v>
      </c>
      <c r="B1421" s="35" t="s">
        <v>78</v>
      </c>
      <c r="C1421" s="36"/>
      <c r="D1421" s="36"/>
      <c r="E1421" s="36"/>
      <c r="F1421" s="37"/>
    </row>
    <row r="1422" spans="1:6" ht="14.4" thickBot="1" x14ac:dyDescent="0.3">
      <c r="A1422" s="46"/>
      <c r="B1422" s="47"/>
      <c r="C1422" s="48"/>
      <c r="D1422" s="49"/>
      <c r="E1422" s="50"/>
      <c r="F1422" s="51"/>
    </row>
    <row r="1423" spans="1:6" ht="14.4" thickBot="1" x14ac:dyDescent="0.3">
      <c r="A1423" s="28"/>
      <c r="B1423" s="29"/>
      <c r="C1423" s="30"/>
      <c r="D1423" s="31" t="s">
        <v>12</v>
      </c>
      <c r="E1423" s="32"/>
      <c r="F1423" s="33">
        <f>SUM(F1422)</f>
        <v>0</v>
      </c>
    </row>
    <row r="1424" spans="1:6" x14ac:dyDescent="0.25">
      <c r="A1424" s="34" t="s">
        <v>13</v>
      </c>
      <c r="B1424" s="35" t="s">
        <v>14</v>
      </c>
      <c r="C1424" s="52"/>
      <c r="D1424" s="52"/>
      <c r="E1424" s="53"/>
      <c r="F1424" s="54">
        <f>+F1416+F1420+F1423</f>
        <v>253515</v>
      </c>
    </row>
    <row r="1425" spans="1:6" x14ac:dyDescent="0.25">
      <c r="A1425" s="10" t="s">
        <v>15</v>
      </c>
      <c r="B1425" s="11" t="s">
        <v>51</v>
      </c>
      <c r="C1425" s="55"/>
      <c r="D1425" s="55"/>
      <c r="E1425" s="56"/>
      <c r="F1425" s="57">
        <f>F1424*15%</f>
        <v>38027.25</v>
      </c>
    </row>
    <row r="1426" spans="1:6" ht="14.4" thickBot="1" x14ac:dyDescent="0.3">
      <c r="A1426" s="58" t="s">
        <v>16</v>
      </c>
      <c r="B1426" s="59" t="s">
        <v>17</v>
      </c>
      <c r="C1426" s="60"/>
      <c r="D1426" s="60"/>
      <c r="E1426" s="61"/>
      <c r="F1426" s="62">
        <f>SUM(F1424:F1425)</f>
        <v>291542.25</v>
      </c>
    </row>
    <row r="1428" spans="1:6" ht="14.4" thickBot="1" x14ac:dyDescent="0.3">
      <c r="A1428" s="160" t="s">
        <v>605</v>
      </c>
      <c r="B1428" s="161" t="s">
        <v>606</v>
      </c>
      <c r="C1428" s="162"/>
      <c r="D1428" s="162"/>
      <c r="E1428" s="162"/>
      <c r="F1428" s="162"/>
    </row>
    <row r="1429" spans="1:6" ht="28.2" thickBot="1" x14ac:dyDescent="0.3">
      <c r="A1429" s="163" t="s">
        <v>2</v>
      </c>
      <c r="B1429" s="164" t="s">
        <v>3</v>
      </c>
      <c r="C1429" s="164" t="s">
        <v>0</v>
      </c>
      <c r="D1429" s="164" t="s">
        <v>4</v>
      </c>
      <c r="E1429" s="164" t="s">
        <v>5</v>
      </c>
      <c r="F1429" s="165" t="s">
        <v>6</v>
      </c>
    </row>
    <row r="1430" spans="1:6" x14ac:dyDescent="0.25">
      <c r="A1430" s="166">
        <v>1</v>
      </c>
      <c r="B1430" s="167">
        <v>2</v>
      </c>
      <c r="C1430" s="167">
        <v>3</v>
      </c>
      <c r="D1430" s="167">
        <v>4</v>
      </c>
      <c r="E1430" s="167">
        <v>5</v>
      </c>
      <c r="F1430" s="168">
        <v>6</v>
      </c>
    </row>
    <row r="1431" spans="1:6" x14ac:dyDescent="0.25">
      <c r="A1431" s="169" t="s">
        <v>1</v>
      </c>
      <c r="B1431" s="170" t="s">
        <v>76</v>
      </c>
      <c r="C1431" s="171"/>
      <c r="D1431" s="171"/>
      <c r="E1431" s="171"/>
      <c r="F1431" s="172"/>
    </row>
    <row r="1432" spans="1:6" x14ac:dyDescent="0.25">
      <c r="A1432" s="173"/>
      <c r="B1432" s="174" t="s">
        <v>40</v>
      </c>
      <c r="C1432" s="175" t="s">
        <v>7</v>
      </c>
      <c r="D1432" s="176">
        <v>0.01</v>
      </c>
      <c r="E1432" s="177">
        <f>'HARGA BAHAN'!E4</f>
        <v>125000</v>
      </c>
      <c r="F1432" s="178">
        <f>+D1432*E1432</f>
        <v>1250</v>
      </c>
    </row>
    <row r="1433" spans="1:6" x14ac:dyDescent="0.25">
      <c r="A1433" s="173"/>
      <c r="B1433" s="179" t="s">
        <v>41</v>
      </c>
      <c r="C1433" s="180" t="s">
        <v>7</v>
      </c>
      <c r="D1433" s="181">
        <v>0.4</v>
      </c>
      <c r="E1433" s="177">
        <f>'HARGA BAHAN'!E5</f>
        <v>160000</v>
      </c>
      <c r="F1433" s="178">
        <f>+D1433*E1433</f>
        <v>64000</v>
      </c>
    </row>
    <row r="1434" spans="1:6" x14ac:dyDescent="0.25">
      <c r="A1434" s="173"/>
      <c r="B1434" s="174" t="s">
        <v>87</v>
      </c>
      <c r="C1434" s="175" t="s">
        <v>7</v>
      </c>
      <c r="D1434" s="176">
        <v>0.04</v>
      </c>
      <c r="E1434" s="177">
        <f>'HARGA BAHAN'!E6</f>
        <v>180000</v>
      </c>
      <c r="F1434" s="178">
        <f>+D1434*E1434</f>
        <v>7200</v>
      </c>
    </row>
    <row r="1435" spans="1:6" ht="14.4" thickBot="1" x14ac:dyDescent="0.3">
      <c r="A1435" s="182"/>
      <c r="B1435" s="183" t="s">
        <v>42</v>
      </c>
      <c r="C1435" s="184" t="s">
        <v>7</v>
      </c>
      <c r="D1435" s="185">
        <v>5.0000000000000001E-3</v>
      </c>
      <c r="E1435" s="177">
        <f>'HARGA BAHAN'!E7</f>
        <v>175000</v>
      </c>
      <c r="F1435" s="178">
        <f>+D1435*E1435</f>
        <v>875</v>
      </c>
    </row>
    <row r="1436" spans="1:6" ht="14.4" thickBot="1" x14ac:dyDescent="0.3">
      <c r="A1436" s="186"/>
      <c r="B1436" s="187"/>
      <c r="C1436" s="188"/>
      <c r="D1436" s="189" t="s">
        <v>8</v>
      </c>
      <c r="E1436" s="190"/>
      <c r="F1436" s="191">
        <f>SUM(F1432:F1435)</f>
        <v>73325</v>
      </c>
    </row>
    <row r="1437" spans="1:6" x14ac:dyDescent="0.25">
      <c r="A1437" s="192" t="s">
        <v>9</v>
      </c>
      <c r="B1437" s="193" t="s">
        <v>77</v>
      </c>
      <c r="C1437" s="194"/>
      <c r="D1437" s="194"/>
      <c r="E1437" s="194"/>
      <c r="F1437" s="195"/>
    </row>
    <row r="1438" spans="1:6" x14ac:dyDescent="0.25">
      <c r="A1438" s="196"/>
      <c r="B1438" s="197" t="s">
        <v>607</v>
      </c>
      <c r="C1438" s="198" t="s">
        <v>159</v>
      </c>
      <c r="D1438" s="199">
        <v>1</v>
      </c>
      <c r="E1438" s="200">
        <f>'HARGA BAHAN'!E109</f>
        <v>248000</v>
      </c>
      <c r="F1438" s="201">
        <f>+D1438*E1438</f>
        <v>248000</v>
      </c>
    </row>
    <row r="1439" spans="1:6" ht="14.4" thickBot="1" x14ac:dyDescent="0.3">
      <c r="A1439" s="202"/>
      <c r="B1439" s="179" t="s">
        <v>310</v>
      </c>
      <c r="C1439" s="180" t="s">
        <v>20</v>
      </c>
      <c r="D1439" s="203">
        <v>0.05</v>
      </c>
      <c r="E1439" s="204">
        <f>'HARGA BAHAN'!E114</f>
        <v>7600</v>
      </c>
      <c r="F1439" s="178">
        <f>+D1439*E1439</f>
        <v>380</v>
      </c>
    </row>
    <row r="1440" spans="1:6" ht="14.4" thickBot="1" x14ac:dyDescent="0.3">
      <c r="A1440" s="186"/>
      <c r="B1440" s="205"/>
      <c r="C1440" s="205"/>
      <c r="D1440" s="206" t="s">
        <v>10</v>
      </c>
      <c r="E1440" s="205"/>
      <c r="F1440" s="191">
        <f>SUM(F1438:F1439)</f>
        <v>248380</v>
      </c>
    </row>
    <row r="1441" spans="1:6" x14ac:dyDescent="0.25">
      <c r="A1441" s="192" t="s">
        <v>11</v>
      </c>
      <c r="B1441" s="193" t="s">
        <v>78</v>
      </c>
      <c r="C1441" s="194"/>
      <c r="D1441" s="194"/>
      <c r="E1441" s="194"/>
      <c r="F1441" s="195"/>
    </row>
    <row r="1442" spans="1:6" ht="14.4" thickBot="1" x14ac:dyDescent="0.3">
      <c r="A1442" s="207"/>
      <c r="B1442" s="208"/>
      <c r="C1442" s="209"/>
      <c r="D1442" s="210"/>
      <c r="E1442" s="211"/>
      <c r="F1442" s="212"/>
    </row>
    <row r="1443" spans="1:6" ht="14.4" thickBot="1" x14ac:dyDescent="0.3">
      <c r="A1443" s="186"/>
      <c r="B1443" s="187"/>
      <c r="C1443" s="188"/>
      <c r="D1443" s="189" t="s">
        <v>12</v>
      </c>
      <c r="E1443" s="190"/>
      <c r="F1443" s="191">
        <f>SUM(F1442)</f>
        <v>0</v>
      </c>
    </row>
    <row r="1444" spans="1:6" x14ac:dyDescent="0.25">
      <c r="A1444" s="192" t="s">
        <v>13</v>
      </c>
      <c r="B1444" s="193" t="s">
        <v>14</v>
      </c>
      <c r="C1444" s="213"/>
      <c r="D1444" s="213"/>
      <c r="E1444" s="214"/>
      <c r="F1444" s="215">
        <f>+F1436+F1440+F1443</f>
        <v>321705</v>
      </c>
    </row>
    <row r="1445" spans="1:6" x14ac:dyDescent="0.25">
      <c r="A1445" s="169" t="s">
        <v>15</v>
      </c>
      <c r="B1445" s="170" t="s">
        <v>51</v>
      </c>
      <c r="C1445" s="216"/>
      <c r="D1445" s="216"/>
      <c r="E1445" s="217"/>
      <c r="F1445" s="218">
        <f>F1444*15%</f>
        <v>48255.75</v>
      </c>
    </row>
    <row r="1446" spans="1:6" ht="14.4" thickBot="1" x14ac:dyDescent="0.3">
      <c r="A1446" s="219" t="s">
        <v>16</v>
      </c>
      <c r="B1446" s="220" t="s">
        <v>17</v>
      </c>
      <c r="C1446" s="221"/>
      <c r="D1446" s="221"/>
      <c r="E1446" s="222"/>
      <c r="F1446" s="223">
        <f>SUM(F1444:F1445)</f>
        <v>369960.75</v>
      </c>
    </row>
    <row r="1447" spans="1:6" x14ac:dyDescent="0.25">
      <c r="A1447" s="665"/>
      <c r="B1447" s="665"/>
      <c r="C1447" s="665"/>
      <c r="D1447" s="665"/>
      <c r="E1447" s="665"/>
      <c r="F1447" s="665"/>
    </row>
    <row r="1448" spans="1:6" ht="14.4" thickBot="1" x14ac:dyDescent="0.3">
      <c r="A1448" s="160" t="s">
        <v>621</v>
      </c>
      <c r="B1448" s="161" t="s">
        <v>626</v>
      </c>
      <c r="C1448" s="162"/>
      <c r="D1448" s="162"/>
      <c r="E1448" s="162"/>
      <c r="F1448" s="162"/>
    </row>
    <row r="1449" spans="1:6" ht="28.2" thickBot="1" x14ac:dyDescent="0.3">
      <c r="A1449" s="163" t="s">
        <v>2</v>
      </c>
      <c r="B1449" s="164" t="s">
        <v>3</v>
      </c>
      <c r="C1449" s="164" t="s">
        <v>0</v>
      </c>
      <c r="D1449" s="164" t="s">
        <v>4</v>
      </c>
      <c r="E1449" s="164" t="s">
        <v>5</v>
      </c>
      <c r="F1449" s="165" t="s">
        <v>6</v>
      </c>
    </row>
    <row r="1450" spans="1:6" x14ac:dyDescent="0.25">
      <c r="A1450" s="166">
        <v>1</v>
      </c>
      <c r="B1450" s="167">
        <v>2</v>
      </c>
      <c r="C1450" s="167">
        <v>3</v>
      </c>
      <c r="D1450" s="167">
        <v>4</v>
      </c>
      <c r="E1450" s="167">
        <v>5</v>
      </c>
      <c r="F1450" s="168">
        <v>6</v>
      </c>
    </row>
    <row r="1451" spans="1:6" x14ac:dyDescent="0.25">
      <c r="A1451" s="169" t="s">
        <v>1</v>
      </c>
      <c r="B1451" s="170" t="s">
        <v>76</v>
      </c>
      <c r="C1451" s="171"/>
      <c r="D1451" s="171"/>
      <c r="E1451" s="171"/>
      <c r="F1451" s="172"/>
    </row>
    <row r="1452" spans="1:6" x14ac:dyDescent="0.25">
      <c r="A1452" s="173"/>
      <c r="B1452" s="174" t="s">
        <v>40</v>
      </c>
      <c r="C1452" s="175" t="s">
        <v>7</v>
      </c>
      <c r="D1452" s="176">
        <v>0.01</v>
      </c>
      <c r="E1452" s="177">
        <f>'HARGA BAHAN'!E4</f>
        <v>125000</v>
      </c>
      <c r="F1452" s="178">
        <f>+D1452*E1452</f>
        <v>1250</v>
      </c>
    </row>
    <row r="1453" spans="1:6" x14ac:dyDescent="0.25">
      <c r="A1453" s="173"/>
      <c r="B1453" s="179" t="s">
        <v>41</v>
      </c>
      <c r="C1453" s="180" t="s">
        <v>7</v>
      </c>
      <c r="D1453" s="181">
        <v>0.45</v>
      </c>
      <c r="E1453" s="177">
        <f>'HARGA BAHAN'!E5</f>
        <v>160000</v>
      </c>
      <c r="F1453" s="178">
        <f>+D1453*E1453</f>
        <v>72000</v>
      </c>
    </row>
    <row r="1454" spans="1:6" x14ac:dyDescent="0.25">
      <c r="A1454" s="173"/>
      <c r="B1454" s="174" t="s">
        <v>87</v>
      </c>
      <c r="C1454" s="175" t="s">
        <v>7</v>
      </c>
      <c r="D1454" s="176">
        <v>4.4999999999999998E-2</v>
      </c>
      <c r="E1454" s="177">
        <f>'HARGA BAHAN'!E6</f>
        <v>180000</v>
      </c>
      <c r="F1454" s="178">
        <f>+D1454*E1454</f>
        <v>8100</v>
      </c>
    </row>
    <row r="1455" spans="1:6" ht="14.4" thickBot="1" x14ac:dyDescent="0.3">
      <c r="A1455" s="182"/>
      <c r="B1455" s="183" t="s">
        <v>42</v>
      </c>
      <c r="C1455" s="184" t="s">
        <v>7</v>
      </c>
      <c r="D1455" s="185">
        <v>5.0000000000000001E-3</v>
      </c>
      <c r="E1455" s="177">
        <f>'HARGA BAHAN'!E7</f>
        <v>175000</v>
      </c>
      <c r="F1455" s="178">
        <f>+D1455*E1455</f>
        <v>875</v>
      </c>
    </row>
    <row r="1456" spans="1:6" ht="14.4" thickBot="1" x14ac:dyDescent="0.3">
      <c r="A1456" s="186"/>
      <c r="B1456" s="187"/>
      <c r="C1456" s="188"/>
      <c r="D1456" s="189" t="s">
        <v>8</v>
      </c>
      <c r="E1456" s="190"/>
      <c r="F1456" s="191">
        <f>SUM(F1452:F1455)</f>
        <v>82225</v>
      </c>
    </row>
    <row r="1457" spans="1:6" x14ac:dyDescent="0.25">
      <c r="A1457" s="192" t="s">
        <v>9</v>
      </c>
      <c r="B1457" s="193" t="s">
        <v>77</v>
      </c>
      <c r="C1457" s="194"/>
      <c r="D1457" s="194"/>
      <c r="E1457" s="194"/>
      <c r="F1457" s="195"/>
    </row>
    <row r="1458" spans="1:6" x14ac:dyDescent="0.25">
      <c r="A1458" s="196"/>
      <c r="B1458" s="197" t="s">
        <v>622</v>
      </c>
      <c r="C1458" s="198" t="s">
        <v>159</v>
      </c>
      <c r="D1458" s="199">
        <v>1</v>
      </c>
      <c r="E1458" s="200">
        <f>'HARGA BAHAN'!E110</f>
        <v>67500</v>
      </c>
      <c r="F1458" s="201">
        <f>+D1458*E1458</f>
        <v>67500</v>
      </c>
    </row>
    <row r="1459" spans="1:6" ht="14.4" thickBot="1" x14ac:dyDescent="0.3">
      <c r="A1459" s="202"/>
      <c r="B1459" s="179" t="s">
        <v>310</v>
      </c>
      <c r="C1459" s="180" t="s">
        <v>20</v>
      </c>
      <c r="D1459" s="203">
        <v>0.05</v>
      </c>
      <c r="E1459" s="204">
        <f>'HARGA BAHAN'!E114</f>
        <v>7600</v>
      </c>
      <c r="F1459" s="178">
        <f>+D1459*E1459</f>
        <v>380</v>
      </c>
    </row>
    <row r="1460" spans="1:6" ht="14.4" thickBot="1" x14ac:dyDescent="0.3">
      <c r="A1460" s="186"/>
      <c r="B1460" s="205"/>
      <c r="C1460" s="205"/>
      <c r="D1460" s="206" t="s">
        <v>10</v>
      </c>
      <c r="E1460" s="205"/>
      <c r="F1460" s="191">
        <f>SUM(F1458:F1459)</f>
        <v>67880</v>
      </c>
    </row>
    <row r="1461" spans="1:6" x14ac:dyDescent="0.25">
      <c r="A1461" s="192" t="s">
        <v>11</v>
      </c>
      <c r="B1461" s="193" t="s">
        <v>78</v>
      </c>
      <c r="C1461" s="194"/>
      <c r="D1461" s="194"/>
      <c r="E1461" s="194"/>
      <c r="F1461" s="195"/>
    </row>
    <row r="1462" spans="1:6" ht="14.4" thickBot="1" x14ac:dyDescent="0.3">
      <c r="A1462" s="207"/>
      <c r="B1462" s="208"/>
      <c r="C1462" s="209"/>
      <c r="D1462" s="210"/>
      <c r="E1462" s="211"/>
      <c r="F1462" s="212"/>
    </row>
    <row r="1463" spans="1:6" ht="14.4" thickBot="1" x14ac:dyDescent="0.3">
      <c r="A1463" s="186"/>
      <c r="B1463" s="187"/>
      <c r="C1463" s="188"/>
      <c r="D1463" s="189" t="s">
        <v>12</v>
      </c>
      <c r="E1463" s="190"/>
      <c r="F1463" s="191">
        <f>SUM(F1462)</f>
        <v>0</v>
      </c>
    </row>
    <row r="1464" spans="1:6" x14ac:dyDescent="0.25">
      <c r="A1464" s="192" t="s">
        <v>13</v>
      </c>
      <c r="B1464" s="193" t="s">
        <v>14</v>
      </c>
      <c r="C1464" s="213"/>
      <c r="D1464" s="213"/>
      <c r="E1464" s="214"/>
      <c r="F1464" s="215">
        <f>+F1456+F1460+F1463</f>
        <v>150105</v>
      </c>
    </row>
    <row r="1465" spans="1:6" x14ac:dyDescent="0.25">
      <c r="A1465" s="169" t="s">
        <v>15</v>
      </c>
      <c r="B1465" s="170" t="s">
        <v>51</v>
      </c>
      <c r="C1465" s="216"/>
      <c r="D1465" s="216"/>
      <c r="E1465" s="217"/>
      <c r="F1465" s="218">
        <f>F1464*15%</f>
        <v>22515.75</v>
      </c>
    </row>
    <row r="1466" spans="1:6" ht="14.4" thickBot="1" x14ac:dyDescent="0.3">
      <c r="A1466" s="219" t="s">
        <v>16</v>
      </c>
      <c r="B1466" s="220" t="s">
        <v>17</v>
      </c>
      <c r="C1466" s="221"/>
      <c r="D1466" s="221"/>
      <c r="E1466" s="222"/>
      <c r="F1466" s="223">
        <f>SUM(F1464:F1465)</f>
        <v>172620.75</v>
      </c>
    </row>
    <row r="1467" spans="1:6" x14ac:dyDescent="0.25">
      <c r="A1467" s="665"/>
      <c r="B1467" s="665"/>
      <c r="C1467" s="665"/>
      <c r="D1467" s="665"/>
      <c r="E1467" s="665"/>
      <c r="F1467" s="665"/>
    </row>
    <row r="1468" spans="1:6" ht="14.4" thickBot="1" x14ac:dyDescent="0.3">
      <c r="A1468" s="160" t="s">
        <v>624</v>
      </c>
      <c r="B1468" s="161" t="s">
        <v>627</v>
      </c>
      <c r="C1468" s="162"/>
      <c r="D1468" s="162"/>
      <c r="E1468" s="162"/>
      <c r="F1468" s="162"/>
    </row>
    <row r="1469" spans="1:6" ht="28.2" thickBot="1" x14ac:dyDescent="0.3">
      <c r="A1469" s="163" t="s">
        <v>2</v>
      </c>
      <c r="B1469" s="164" t="s">
        <v>3</v>
      </c>
      <c r="C1469" s="164" t="s">
        <v>0</v>
      </c>
      <c r="D1469" s="164" t="s">
        <v>4</v>
      </c>
      <c r="E1469" s="164" t="s">
        <v>5</v>
      </c>
      <c r="F1469" s="165" t="s">
        <v>6</v>
      </c>
    </row>
    <row r="1470" spans="1:6" x14ac:dyDescent="0.25">
      <c r="A1470" s="166">
        <v>1</v>
      </c>
      <c r="B1470" s="167">
        <v>2</v>
      </c>
      <c r="C1470" s="167">
        <v>3</v>
      </c>
      <c r="D1470" s="167">
        <v>4</v>
      </c>
      <c r="E1470" s="167">
        <v>5</v>
      </c>
      <c r="F1470" s="168">
        <v>6</v>
      </c>
    </row>
    <row r="1471" spans="1:6" x14ac:dyDescent="0.25">
      <c r="A1471" s="169" t="s">
        <v>1</v>
      </c>
      <c r="B1471" s="170" t="s">
        <v>76</v>
      </c>
      <c r="C1471" s="171"/>
      <c r="D1471" s="171"/>
      <c r="E1471" s="171"/>
      <c r="F1471" s="172"/>
    </row>
    <row r="1472" spans="1:6" x14ac:dyDescent="0.25">
      <c r="A1472" s="173"/>
      <c r="B1472" s="174" t="s">
        <v>40</v>
      </c>
      <c r="C1472" s="175" t="s">
        <v>7</v>
      </c>
      <c r="D1472" s="176">
        <v>0.01</v>
      </c>
      <c r="E1472" s="177">
        <f>'HARGA BAHAN'!E4</f>
        <v>125000</v>
      </c>
      <c r="F1472" s="178">
        <f>+D1472*E1472</f>
        <v>1250</v>
      </c>
    </row>
    <row r="1473" spans="1:6" x14ac:dyDescent="0.25">
      <c r="A1473" s="173"/>
      <c r="B1473" s="179" t="s">
        <v>41</v>
      </c>
      <c r="C1473" s="180" t="s">
        <v>7</v>
      </c>
      <c r="D1473" s="181">
        <v>0.5</v>
      </c>
      <c r="E1473" s="177">
        <f>'HARGA BAHAN'!E5</f>
        <v>160000</v>
      </c>
      <c r="F1473" s="178">
        <f>+D1473*E1473</f>
        <v>80000</v>
      </c>
    </row>
    <row r="1474" spans="1:6" x14ac:dyDescent="0.25">
      <c r="A1474" s="173"/>
      <c r="B1474" s="174" t="s">
        <v>87</v>
      </c>
      <c r="C1474" s="175" t="s">
        <v>7</v>
      </c>
      <c r="D1474" s="176">
        <v>0.05</v>
      </c>
      <c r="E1474" s="177">
        <f>'HARGA BAHAN'!E6</f>
        <v>180000</v>
      </c>
      <c r="F1474" s="178">
        <f>+D1474*E1474</f>
        <v>9000</v>
      </c>
    </row>
    <row r="1475" spans="1:6" ht="14.4" thickBot="1" x14ac:dyDescent="0.3">
      <c r="A1475" s="182"/>
      <c r="B1475" s="183" t="s">
        <v>42</v>
      </c>
      <c r="C1475" s="184" t="s">
        <v>7</v>
      </c>
      <c r="D1475" s="185">
        <v>6.0000000000000001E-3</v>
      </c>
      <c r="E1475" s="177">
        <f>'HARGA BAHAN'!E7</f>
        <v>175000</v>
      </c>
      <c r="F1475" s="178">
        <f>+D1475*E1475</f>
        <v>1050</v>
      </c>
    </row>
    <row r="1476" spans="1:6" ht="14.4" thickBot="1" x14ac:dyDescent="0.3">
      <c r="A1476" s="186"/>
      <c r="B1476" s="187"/>
      <c r="C1476" s="188"/>
      <c r="D1476" s="189" t="s">
        <v>8</v>
      </c>
      <c r="E1476" s="190"/>
      <c r="F1476" s="191">
        <f>SUM(F1472:F1475)</f>
        <v>91300</v>
      </c>
    </row>
    <row r="1477" spans="1:6" x14ac:dyDescent="0.25">
      <c r="A1477" s="192" t="s">
        <v>9</v>
      </c>
      <c r="B1477" s="193" t="s">
        <v>77</v>
      </c>
      <c r="C1477" s="194"/>
      <c r="D1477" s="194"/>
      <c r="E1477" s="194"/>
      <c r="F1477" s="195"/>
    </row>
    <row r="1478" spans="1:6" x14ac:dyDescent="0.25">
      <c r="A1478" s="196"/>
      <c r="B1478" s="197" t="s">
        <v>625</v>
      </c>
      <c r="C1478" s="198" t="s">
        <v>159</v>
      </c>
      <c r="D1478" s="199">
        <v>1</v>
      </c>
      <c r="E1478" s="200">
        <f>'HARGA BAHAN'!E112</f>
        <v>8908900</v>
      </c>
      <c r="F1478" s="201">
        <f>+D1478*E1478</f>
        <v>8908900</v>
      </c>
    </row>
    <row r="1479" spans="1:6" ht="14.4" thickBot="1" x14ac:dyDescent="0.3">
      <c r="A1479" s="202"/>
      <c r="B1479" s="179" t="s">
        <v>310</v>
      </c>
      <c r="C1479" s="180" t="s">
        <v>20</v>
      </c>
      <c r="D1479" s="203">
        <v>0.1</v>
      </c>
      <c r="E1479" s="204">
        <f>'HARGA BAHAN'!E114</f>
        <v>7600</v>
      </c>
      <c r="F1479" s="178">
        <f>+D1479*E1479</f>
        <v>760</v>
      </c>
    </row>
    <row r="1480" spans="1:6" ht="14.4" thickBot="1" x14ac:dyDescent="0.3">
      <c r="A1480" s="186"/>
      <c r="B1480" s="205"/>
      <c r="C1480" s="205"/>
      <c r="D1480" s="206" t="s">
        <v>10</v>
      </c>
      <c r="E1480" s="205"/>
      <c r="F1480" s="191">
        <f>SUM(F1478:F1479)</f>
        <v>8909660</v>
      </c>
    </row>
    <row r="1481" spans="1:6" x14ac:dyDescent="0.25">
      <c r="A1481" s="192" t="s">
        <v>11</v>
      </c>
      <c r="B1481" s="193" t="s">
        <v>78</v>
      </c>
      <c r="C1481" s="194"/>
      <c r="D1481" s="194"/>
      <c r="E1481" s="194"/>
      <c r="F1481" s="195"/>
    </row>
    <row r="1482" spans="1:6" ht="14.4" thickBot="1" x14ac:dyDescent="0.3">
      <c r="A1482" s="207"/>
      <c r="B1482" s="208"/>
      <c r="C1482" s="209"/>
      <c r="D1482" s="210"/>
      <c r="E1482" s="211"/>
      <c r="F1482" s="212"/>
    </row>
    <row r="1483" spans="1:6" ht="14.4" thickBot="1" x14ac:dyDescent="0.3">
      <c r="A1483" s="186"/>
      <c r="B1483" s="187"/>
      <c r="C1483" s="188"/>
      <c r="D1483" s="189" t="s">
        <v>12</v>
      </c>
      <c r="E1483" s="190"/>
      <c r="F1483" s="191">
        <f>SUM(F1482)</f>
        <v>0</v>
      </c>
    </row>
    <row r="1484" spans="1:6" x14ac:dyDescent="0.25">
      <c r="A1484" s="192" t="s">
        <v>13</v>
      </c>
      <c r="B1484" s="193" t="s">
        <v>14</v>
      </c>
      <c r="C1484" s="213"/>
      <c r="D1484" s="213"/>
      <c r="E1484" s="214"/>
      <c r="F1484" s="215">
        <f>+F1476+F1480+F1483</f>
        <v>9000960</v>
      </c>
    </row>
    <row r="1485" spans="1:6" x14ac:dyDescent="0.25">
      <c r="A1485" s="169" t="s">
        <v>15</v>
      </c>
      <c r="B1485" s="170" t="s">
        <v>51</v>
      </c>
      <c r="C1485" s="216"/>
      <c r="D1485" s="216"/>
      <c r="E1485" s="217"/>
      <c r="F1485" s="218">
        <f>F1484*15%</f>
        <v>1350144</v>
      </c>
    </row>
    <row r="1486" spans="1:6" ht="14.4" thickBot="1" x14ac:dyDescent="0.3">
      <c r="A1486" s="219" t="s">
        <v>16</v>
      </c>
      <c r="B1486" s="220" t="s">
        <v>17</v>
      </c>
      <c r="C1486" s="221"/>
      <c r="D1486" s="221"/>
      <c r="E1486" s="222"/>
      <c r="F1486" s="223">
        <f>SUM(F1484:F1485)</f>
        <v>10351104</v>
      </c>
    </row>
    <row r="1488" spans="1:6" ht="14.4" thickBot="1" x14ac:dyDescent="0.3">
      <c r="A1488" s="160" t="s">
        <v>667</v>
      </c>
      <c r="B1488" s="161" t="s">
        <v>668</v>
      </c>
      <c r="C1488" s="162"/>
      <c r="D1488" s="162"/>
      <c r="E1488" s="162"/>
      <c r="F1488" s="162"/>
    </row>
    <row r="1489" spans="1:6" ht="28.2" thickBot="1" x14ac:dyDescent="0.3">
      <c r="A1489" s="163" t="s">
        <v>2</v>
      </c>
      <c r="B1489" s="164" t="s">
        <v>3</v>
      </c>
      <c r="C1489" s="164" t="s">
        <v>0</v>
      </c>
      <c r="D1489" s="164" t="s">
        <v>4</v>
      </c>
      <c r="E1489" s="164" t="s">
        <v>5</v>
      </c>
      <c r="F1489" s="165" t="s">
        <v>6</v>
      </c>
    </row>
    <row r="1490" spans="1:6" x14ac:dyDescent="0.25">
      <c r="A1490" s="166">
        <v>1</v>
      </c>
      <c r="B1490" s="167">
        <v>2</v>
      </c>
      <c r="C1490" s="167">
        <v>3</v>
      </c>
      <c r="D1490" s="167">
        <v>4</v>
      </c>
      <c r="E1490" s="167">
        <v>5</v>
      </c>
      <c r="F1490" s="168">
        <v>6</v>
      </c>
    </row>
    <row r="1491" spans="1:6" x14ac:dyDescent="0.25">
      <c r="A1491" s="169" t="s">
        <v>1</v>
      </c>
      <c r="B1491" s="170" t="s">
        <v>150</v>
      </c>
      <c r="C1491" s="171"/>
      <c r="D1491" s="171"/>
      <c r="E1491" s="171"/>
      <c r="F1491" s="172"/>
    </row>
    <row r="1492" spans="1:6" x14ac:dyDescent="0.25">
      <c r="A1492" s="173"/>
      <c r="B1492" s="174" t="s">
        <v>151</v>
      </c>
      <c r="C1492" s="175" t="s">
        <v>7</v>
      </c>
      <c r="D1492" s="568">
        <v>5.3999999999999999E-2</v>
      </c>
      <c r="E1492" s="177">
        <f>'HARGA BAHAN'!E4</f>
        <v>125000</v>
      </c>
      <c r="F1492" s="178">
        <f t="shared" ref="F1492" si="36">+D1492*E1492</f>
        <v>6750</v>
      </c>
    </row>
    <row r="1493" spans="1:6" x14ac:dyDescent="0.25">
      <c r="A1493" s="173"/>
      <c r="B1493" s="179" t="s">
        <v>199</v>
      </c>
      <c r="C1493" s="180" t="s">
        <v>7</v>
      </c>
      <c r="D1493" s="569">
        <v>0.09</v>
      </c>
      <c r="E1493" s="177">
        <f>'HARGA BAHAN'!E5</f>
        <v>160000</v>
      </c>
      <c r="F1493" s="423">
        <f>+D1493*E1493</f>
        <v>14400</v>
      </c>
    </row>
    <row r="1494" spans="1:6" x14ac:dyDescent="0.25">
      <c r="A1494" s="173"/>
      <c r="B1494" s="174" t="s">
        <v>153</v>
      </c>
      <c r="C1494" s="175" t="s">
        <v>7</v>
      </c>
      <c r="D1494" s="569">
        <v>8.9999999999999993E-3</v>
      </c>
      <c r="E1494" s="177">
        <f>'HARGA BAHAN'!E6</f>
        <v>180000</v>
      </c>
      <c r="F1494" s="178">
        <f t="shared" ref="F1494:F1495" si="37">+D1494*E1494</f>
        <v>1619.9999999999998</v>
      </c>
    </row>
    <row r="1495" spans="1:6" ht="14.4" thickBot="1" x14ac:dyDescent="0.3">
      <c r="A1495" s="182"/>
      <c r="B1495" s="183" t="s">
        <v>154</v>
      </c>
      <c r="C1495" s="184" t="s">
        <v>7</v>
      </c>
      <c r="D1495" s="570">
        <v>2.7E-2</v>
      </c>
      <c r="E1495" s="177">
        <f>'HARGA BAHAN'!E7</f>
        <v>175000</v>
      </c>
      <c r="F1495" s="424">
        <f t="shared" si="37"/>
        <v>4725</v>
      </c>
    </row>
    <row r="1496" spans="1:6" ht="14.4" thickBot="1" x14ac:dyDescent="0.3">
      <c r="A1496" s="186"/>
      <c r="B1496" s="187"/>
      <c r="C1496" s="188"/>
      <c r="D1496" s="189" t="s">
        <v>8</v>
      </c>
      <c r="E1496" s="190"/>
      <c r="F1496" s="191">
        <f>SUM(F1492:F1495)</f>
        <v>27495</v>
      </c>
    </row>
    <row r="1497" spans="1:6" x14ac:dyDescent="0.25">
      <c r="A1497" s="192" t="s">
        <v>9</v>
      </c>
      <c r="B1497" s="193" t="s">
        <v>155</v>
      </c>
      <c r="C1497" s="194"/>
      <c r="D1497" s="194"/>
      <c r="E1497" s="194"/>
      <c r="F1497" s="195"/>
    </row>
    <row r="1498" spans="1:6" x14ac:dyDescent="0.25">
      <c r="A1498" s="196"/>
      <c r="B1498" s="197" t="s">
        <v>669</v>
      </c>
      <c r="C1498" s="198" t="s">
        <v>200</v>
      </c>
      <c r="D1498" s="388">
        <v>1.05</v>
      </c>
      <c r="E1498" s="200">
        <f>'HARGA BAHAN'!E102</f>
        <v>30170</v>
      </c>
      <c r="F1498" s="201">
        <f t="shared" ref="F1498" si="38">+D1498*E1498</f>
        <v>31678.5</v>
      </c>
    </row>
    <row r="1499" spans="1:6" ht="14.4" thickBot="1" x14ac:dyDescent="0.3">
      <c r="A1499" s="173"/>
      <c r="B1499" s="174" t="s">
        <v>201</v>
      </c>
      <c r="C1499" s="175" t="s">
        <v>202</v>
      </c>
      <c r="D1499" s="176">
        <v>36</v>
      </c>
      <c r="E1499" s="177">
        <f>F1498</f>
        <v>31678.5</v>
      </c>
      <c r="F1499" s="178">
        <f>E1499*D1499/100</f>
        <v>11404.26</v>
      </c>
    </row>
    <row r="1500" spans="1:6" ht="14.4" thickBot="1" x14ac:dyDescent="0.3">
      <c r="A1500" s="186"/>
      <c r="B1500" s="205"/>
      <c r="C1500" s="205"/>
      <c r="D1500" s="206" t="s">
        <v>10</v>
      </c>
      <c r="E1500" s="205"/>
      <c r="F1500" s="191">
        <f>SUM(F1498:F1499)</f>
        <v>43082.76</v>
      </c>
    </row>
    <row r="1501" spans="1:6" ht="14.4" thickBot="1" x14ac:dyDescent="0.3">
      <c r="A1501" s="192" t="s">
        <v>11</v>
      </c>
      <c r="B1501" s="193" t="s">
        <v>160</v>
      </c>
      <c r="C1501" s="194"/>
      <c r="D1501" s="194"/>
      <c r="E1501" s="194"/>
      <c r="F1501" s="195"/>
    </row>
    <row r="1502" spans="1:6" ht="14.4" thickBot="1" x14ac:dyDescent="0.3">
      <c r="A1502" s="186"/>
      <c r="B1502" s="187"/>
      <c r="C1502" s="188"/>
      <c r="D1502" s="189" t="s">
        <v>12</v>
      </c>
      <c r="E1502" s="190"/>
      <c r="F1502" s="191">
        <v>0</v>
      </c>
    </row>
    <row r="1503" spans="1:6" x14ac:dyDescent="0.25">
      <c r="A1503" s="192" t="s">
        <v>13</v>
      </c>
      <c r="B1503" s="193" t="s">
        <v>14</v>
      </c>
      <c r="C1503" s="213"/>
      <c r="D1503" s="213"/>
      <c r="E1503" s="214"/>
      <c r="F1503" s="215">
        <f>+F1496+F1500+F1502</f>
        <v>70577.760000000009</v>
      </c>
    </row>
    <row r="1504" spans="1:6" x14ac:dyDescent="0.25">
      <c r="A1504" s="169" t="s">
        <v>15</v>
      </c>
      <c r="B1504" s="170" t="s">
        <v>51</v>
      </c>
      <c r="C1504" s="216"/>
      <c r="D1504" s="216"/>
      <c r="E1504" s="217"/>
      <c r="F1504" s="218">
        <f>F1503*0.15</f>
        <v>10586.664000000001</v>
      </c>
    </row>
    <row r="1505" spans="1:6" ht="14.4" thickBot="1" x14ac:dyDescent="0.3">
      <c r="A1505" s="219" t="s">
        <v>16</v>
      </c>
      <c r="B1505" s="220" t="s">
        <v>17</v>
      </c>
      <c r="C1505" s="221"/>
      <c r="D1505" s="221"/>
      <c r="E1505" s="222"/>
      <c r="F1505" s="223">
        <f>SUM(F1503:F1504)</f>
        <v>81164.424000000014</v>
      </c>
    </row>
    <row r="1507" spans="1:6" ht="14.4" thickBot="1" x14ac:dyDescent="0.3">
      <c r="A1507" s="160" t="s">
        <v>674</v>
      </c>
      <c r="B1507" s="161" t="s">
        <v>675</v>
      </c>
      <c r="C1507" s="162"/>
      <c r="D1507" s="162"/>
      <c r="E1507" s="162"/>
      <c r="F1507" s="162"/>
    </row>
    <row r="1508" spans="1:6" ht="28.2" thickBot="1" x14ac:dyDescent="0.3">
      <c r="A1508" s="163" t="s">
        <v>2</v>
      </c>
      <c r="B1508" s="164" t="s">
        <v>3</v>
      </c>
      <c r="C1508" s="164" t="s">
        <v>0</v>
      </c>
      <c r="D1508" s="164" t="s">
        <v>4</v>
      </c>
      <c r="E1508" s="164" t="s">
        <v>5</v>
      </c>
      <c r="F1508" s="165" t="s">
        <v>6</v>
      </c>
    </row>
    <row r="1509" spans="1:6" x14ac:dyDescent="0.25">
      <c r="A1509" s="166">
        <v>1</v>
      </c>
      <c r="B1509" s="167">
        <v>2</v>
      </c>
      <c r="C1509" s="167">
        <v>3</v>
      </c>
      <c r="D1509" s="167">
        <v>4</v>
      </c>
      <c r="E1509" s="167">
        <v>5</v>
      </c>
      <c r="F1509" s="168">
        <v>6</v>
      </c>
    </row>
    <row r="1510" spans="1:6" x14ac:dyDescent="0.25">
      <c r="A1510" s="169" t="s">
        <v>1</v>
      </c>
      <c r="B1510" s="170" t="s">
        <v>150</v>
      </c>
      <c r="C1510" s="171"/>
      <c r="D1510" s="171"/>
      <c r="E1510" s="171"/>
      <c r="F1510" s="172"/>
    </row>
    <row r="1511" spans="1:6" x14ac:dyDescent="0.25">
      <c r="A1511" s="173"/>
      <c r="B1511" s="174" t="s">
        <v>151</v>
      </c>
      <c r="C1511" s="175" t="s">
        <v>7</v>
      </c>
      <c r="D1511" s="568">
        <v>5.3999999999999999E-2</v>
      </c>
      <c r="E1511" s="177">
        <f>'HARGA BAHAN'!E4</f>
        <v>125000</v>
      </c>
      <c r="F1511" s="178">
        <f t="shared" ref="F1511" si="39">+D1511*E1511</f>
        <v>6750</v>
      </c>
    </row>
    <row r="1512" spans="1:6" x14ac:dyDescent="0.25">
      <c r="A1512" s="173"/>
      <c r="B1512" s="179" t="s">
        <v>199</v>
      </c>
      <c r="C1512" s="180" t="s">
        <v>7</v>
      </c>
      <c r="D1512" s="569">
        <v>0.09</v>
      </c>
      <c r="E1512" s="177">
        <f>'HARGA BAHAN'!E5</f>
        <v>160000</v>
      </c>
      <c r="F1512" s="423">
        <f>+D1512*E1512</f>
        <v>14400</v>
      </c>
    </row>
    <row r="1513" spans="1:6" x14ac:dyDescent="0.25">
      <c r="A1513" s="173"/>
      <c r="B1513" s="174" t="s">
        <v>153</v>
      </c>
      <c r="C1513" s="175" t="s">
        <v>7</v>
      </c>
      <c r="D1513" s="569">
        <v>8.9999999999999993E-3</v>
      </c>
      <c r="E1513" s="177">
        <f>'HARGA BAHAN'!E6</f>
        <v>180000</v>
      </c>
      <c r="F1513" s="178">
        <f t="shared" ref="F1513:F1514" si="40">+D1513*E1513</f>
        <v>1619.9999999999998</v>
      </c>
    </row>
    <row r="1514" spans="1:6" ht="14.4" thickBot="1" x14ac:dyDescent="0.3">
      <c r="A1514" s="182"/>
      <c r="B1514" s="183" t="s">
        <v>154</v>
      </c>
      <c r="C1514" s="184" t="s">
        <v>7</v>
      </c>
      <c r="D1514" s="570">
        <v>2.7E-2</v>
      </c>
      <c r="E1514" s="177">
        <f>'HARGA BAHAN'!E7</f>
        <v>175000</v>
      </c>
      <c r="F1514" s="424">
        <f t="shared" si="40"/>
        <v>4725</v>
      </c>
    </row>
    <row r="1515" spans="1:6" ht="14.4" thickBot="1" x14ac:dyDescent="0.3">
      <c r="A1515" s="186"/>
      <c r="B1515" s="187"/>
      <c r="C1515" s="188"/>
      <c r="D1515" s="189" t="s">
        <v>8</v>
      </c>
      <c r="E1515" s="190"/>
      <c r="F1515" s="191">
        <f>SUM(F1511:F1514)</f>
        <v>27495</v>
      </c>
    </row>
    <row r="1516" spans="1:6" x14ac:dyDescent="0.25">
      <c r="A1516" s="192" t="s">
        <v>9</v>
      </c>
      <c r="B1516" s="193" t="s">
        <v>155</v>
      </c>
      <c r="C1516" s="194"/>
      <c r="D1516" s="194"/>
      <c r="E1516" s="194"/>
      <c r="F1516" s="195"/>
    </row>
    <row r="1517" spans="1:6" x14ac:dyDescent="0.25">
      <c r="A1517" s="196"/>
      <c r="B1517" s="197" t="s">
        <v>676</v>
      </c>
      <c r="C1517" s="198" t="s">
        <v>200</v>
      </c>
      <c r="D1517" s="388">
        <v>1.05</v>
      </c>
      <c r="E1517" s="200">
        <f>'HARGA BAHAN'!E104</f>
        <v>54840</v>
      </c>
      <c r="F1517" s="201">
        <f t="shared" ref="F1517" si="41">+D1517*E1517</f>
        <v>57582</v>
      </c>
    </row>
    <row r="1518" spans="1:6" ht="14.4" thickBot="1" x14ac:dyDescent="0.3">
      <c r="A1518" s="173"/>
      <c r="B1518" s="174" t="s">
        <v>201</v>
      </c>
      <c r="C1518" s="175" t="s">
        <v>202</v>
      </c>
      <c r="D1518" s="176">
        <v>36</v>
      </c>
      <c r="E1518" s="177">
        <f>F1517</f>
        <v>57582</v>
      </c>
      <c r="F1518" s="178">
        <f>E1518*D1518/100</f>
        <v>20729.52</v>
      </c>
    </row>
    <row r="1519" spans="1:6" ht="14.4" thickBot="1" x14ac:dyDescent="0.3">
      <c r="A1519" s="186"/>
      <c r="B1519" s="205"/>
      <c r="C1519" s="205"/>
      <c r="D1519" s="206" t="s">
        <v>10</v>
      </c>
      <c r="E1519" s="205"/>
      <c r="F1519" s="191">
        <f>SUM(F1517:F1518)</f>
        <v>78311.520000000004</v>
      </c>
    </row>
    <row r="1520" spans="1:6" ht="14.4" thickBot="1" x14ac:dyDescent="0.3">
      <c r="A1520" s="192" t="s">
        <v>11</v>
      </c>
      <c r="B1520" s="193" t="s">
        <v>160</v>
      </c>
      <c r="C1520" s="194"/>
      <c r="D1520" s="194"/>
      <c r="E1520" s="194"/>
      <c r="F1520" s="195"/>
    </row>
    <row r="1521" spans="1:6" ht="14.4" thickBot="1" x14ac:dyDescent="0.3">
      <c r="A1521" s="186"/>
      <c r="B1521" s="187"/>
      <c r="C1521" s="188"/>
      <c r="D1521" s="189" t="s">
        <v>12</v>
      </c>
      <c r="E1521" s="190"/>
      <c r="F1521" s="191">
        <v>0</v>
      </c>
    </row>
    <row r="1522" spans="1:6" x14ac:dyDescent="0.25">
      <c r="A1522" s="192" t="s">
        <v>13</v>
      </c>
      <c r="B1522" s="193" t="s">
        <v>14</v>
      </c>
      <c r="C1522" s="213"/>
      <c r="D1522" s="213"/>
      <c r="E1522" s="214"/>
      <c r="F1522" s="215">
        <f>+F1515+F1519+F1521</f>
        <v>105806.52</v>
      </c>
    </row>
    <row r="1523" spans="1:6" x14ac:dyDescent="0.25">
      <c r="A1523" s="169" t="s">
        <v>15</v>
      </c>
      <c r="B1523" s="170" t="s">
        <v>51</v>
      </c>
      <c r="C1523" s="216"/>
      <c r="D1523" s="216"/>
      <c r="E1523" s="217"/>
      <c r="F1523" s="218">
        <f>F1522*0.15</f>
        <v>15870.977999999999</v>
      </c>
    </row>
    <row r="1524" spans="1:6" ht="14.4" thickBot="1" x14ac:dyDescent="0.3">
      <c r="A1524" s="219" t="s">
        <v>16</v>
      </c>
      <c r="B1524" s="220" t="s">
        <v>17</v>
      </c>
      <c r="C1524" s="221"/>
      <c r="D1524" s="221"/>
      <c r="E1524" s="222"/>
      <c r="F1524" s="223">
        <f>SUM(F1522:F1523)</f>
        <v>121677.49800000001</v>
      </c>
    </row>
    <row r="1526" spans="1:6" ht="14.4" thickBot="1" x14ac:dyDescent="0.3">
      <c r="A1526" s="160" t="s">
        <v>470</v>
      </c>
      <c r="B1526" s="161" t="s">
        <v>471</v>
      </c>
      <c r="C1526" s="162"/>
      <c r="D1526" s="162"/>
      <c r="E1526" s="162"/>
      <c r="F1526" s="162"/>
    </row>
    <row r="1527" spans="1:6" ht="28.2" thickBot="1" x14ac:dyDescent="0.3">
      <c r="A1527" s="163" t="s">
        <v>2</v>
      </c>
      <c r="B1527" s="164" t="s">
        <v>3</v>
      </c>
      <c r="C1527" s="164" t="s">
        <v>0</v>
      </c>
      <c r="D1527" s="164" t="s">
        <v>4</v>
      </c>
      <c r="E1527" s="164" t="s">
        <v>5</v>
      </c>
      <c r="F1527" s="165" t="s">
        <v>6</v>
      </c>
    </row>
    <row r="1528" spans="1:6" x14ac:dyDescent="0.25">
      <c r="A1528" s="166">
        <v>1</v>
      </c>
      <c r="B1528" s="167">
        <v>2</v>
      </c>
      <c r="C1528" s="167">
        <v>3</v>
      </c>
      <c r="D1528" s="167">
        <v>4</v>
      </c>
      <c r="E1528" s="167">
        <v>5</v>
      </c>
      <c r="F1528" s="168">
        <v>6</v>
      </c>
    </row>
    <row r="1529" spans="1:6" x14ac:dyDescent="0.25">
      <c r="A1529" s="169" t="s">
        <v>1</v>
      </c>
      <c r="B1529" s="170" t="s">
        <v>150</v>
      </c>
      <c r="C1529" s="171"/>
      <c r="D1529" s="171"/>
      <c r="E1529" s="171"/>
      <c r="F1529" s="172"/>
    </row>
    <row r="1530" spans="1:6" x14ac:dyDescent="0.25">
      <c r="A1530" s="173"/>
      <c r="B1530" s="174" t="s">
        <v>151</v>
      </c>
      <c r="C1530" s="175" t="s">
        <v>7</v>
      </c>
      <c r="D1530" s="568">
        <v>3.1E-2</v>
      </c>
      <c r="E1530" s="177">
        <f>'HARGA BAHAN'!E4</f>
        <v>125000</v>
      </c>
      <c r="F1530" s="178">
        <f t="shared" ref="F1530" si="42">+D1530*E1530</f>
        <v>3875</v>
      </c>
    </row>
    <row r="1531" spans="1:6" x14ac:dyDescent="0.25">
      <c r="A1531" s="173"/>
      <c r="B1531" s="179" t="s">
        <v>199</v>
      </c>
      <c r="C1531" s="180" t="s">
        <v>7</v>
      </c>
      <c r="D1531" s="569">
        <v>6.2E-2</v>
      </c>
      <c r="E1531" s="177">
        <f>'HARGA BAHAN'!E5</f>
        <v>160000</v>
      </c>
      <c r="F1531" s="423">
        <f>+D1531*E1531</f>
        <v>9920</v>
      </c>
    </row>
    <row r="1532" spans="1:6" x14ac:dyDescent="0.25">
      <c r="A1532" s="173"/>
      <c r="B1532" s="174" t="s">
        <v>153</v>
      </c>
      <c r="C1532" s="175" t="s">
        <v>7</v>
      </c>
      <c r="D1532" s="569">
        <v>6.1999999999999998E-3</v>
      </c>
      <c r="E1532" s="177">
        <f>'HARGA BAHAN'!E6</f>
        <v>180000</v>
      </c>
      <c r="F1532" s="178">
        <f t="shared" ref="F1532:F1533" si="43">+D1532*E1532</f>
        <v>1116</v>
      </c>
    </row>
    <row r="1533" spans="1:6" ht="14.4" thickBot="1" x14ac:dyDescent="0.3">
      <c r="A1533" s="182"/>
      <c r="B1533" s="183" t="s">
        <v>154</v>
      </c>
      <c r="C1533" s="184" t="s">
        <v>7</v>
      </c>
      <c r="D1533" s="570">
        <v>1E-3</v>
      </c>
      <c r="E1533" s="177">
        <f>'HARGA BAHAN'!E7</f>
        <v>175000</v>
      </c>
      <c r="F1533" s="424">
        <f t="shared" si="43"/>
        <v>175</v>
      </c>
    </row>
    <row r="1534" spans="1:6" ht="14.4" thickBot="1" x14ac:dyDescent="0.3">
      <c r="A1534" s="186"/>
      <c r="B1534" s="187"/>
      <c r="C1534" s="188"/>
      <c r="D1534" s="189" t="s">
        <v>8</v>
      </c>
      <c r="E1534" s="190"/>
      <c r="F1534" s="191">
        <f>SUM(F1530:F1533)</f>
        <v>15086</v>
      </c>
    </row>
    <row r="1535" spans="1:6" x14ac:dyDescent="0.25">
      <c r="A1535" s="192" t="s">
        <v>9</v>
      </c>
      <c r="B1535" s="193" t="s">
        <v>155</v>
      </c>
      <c r="C1535" s="194"/>
      <c r="D1535" s="194"/>
      <c r="E1535" s="194"/>
      <c r="F1535" s="195"/>
    </row>
    <row r="1536" spans="1:6" x14ac:dyDescent="0.25">
      <c r="A1536" s="196"/>
      <c r="B1536" s="197" t="s">
        <v>472</v>
      </c>
      <c r="C1536" s="198" t="s">
        <v>200</v>
      </c>
      <c r="D1536" s="388">
        <v>1.2</v>
      </c>
      <c r="E1536" s="200">
        <f>'HARGA BAHAN'!E105</f>
        <v>7500</v>
      </c>
      <c r="F1536" s="201">
        <f t="shared" ref="F1536" si="44">+D1536*E1536</f>
        <v>9000</v>
      </c>
    </row>
    <row r="1537" spans="1:6" ht="14.4" thickBot="1" x14ac:dyDescent="0.3">
      <c r="A1537" s="173"/>
      <c r="B1537" s="174" t="s">
        <v>201</v>
      </c>
      <c r="C1537" s="175" t="s">
        <v>202</v>
      </c>
      <c r="D1537" s="176">
        <v>35</v>
      </c>
      <c r="E1537" s="177">
        <f>F1536</f>
        <v>9000</v>
      </c>
      <c r="F1537" s="178">
        <f>E1537*D1537/100</f>
        <v>3150</v>
      </c>
    </row>
    <row r="1538" spans="1:6" ht="14.4" thickBot="1" x14ac:dyDescent="0.3">
      <c r="A1538" s="186"/>
      <c r="B1538" s="205"/>
      <c r="C1538" s="205"/>
      <c r="D1538" s="206" t="s">
        <v>10</v>
      </c>
      <c r="E1538" s="205"/>
      <c r="F1538" s="191">
        <f>SUM(F1536:F1537)</f>
        <v>12150</v>
      </c>
    </row>
    <row r="1539" spans="1:6" ht="14.4" thickBot="1" x14ac:dyDescent="0.3">
      <c r="A1539" s="192" t="s">
        <v>11</v>
      </c>
      <c r="B1539" s="193" t="s">
        <v>160</v>
      </c>
      <c r="C1539" s="194"/>
      <c r="D1539" s="194"/>
      <c r="E1539" s="194"/>
      <c r="F1539" s="195"/>
    </row>
    <row r="1540" spans="1:6" ht="14.4" thickBot="1" x14ac:dyDescent="0.3">
      <c r="A1540" s="186"/>
      <c r="B1540" s="187"/>
      <c r="C1540" s="188"/>
      <c r="D1540" s="189" t="s">
        <v>12</v>
      </c>
      <c r="E1540" s="190"/>
      <c r="F1540" s="191">
        <v>0</v>
      </c>
    </row>
    <row r="1541" spans="1:6" x14ac:dyDescent="0.25">
      <c r="A1541" s="192" t="s">
        <v>13</v>
      </c>
      <c r="B1541" s="193" t="s">
        <v>14</v>
      </c>
      <c r="C1541" s="213"/>
      <c r="D1541" s="213"/>
      <c r="E1541" s="214"/>
      <c r="F1541" s="215">
        <f>+F1534+F1538+F1540</f>
        <v>27236</v>
      </c>
    </row>
    <row r="1542" spans="1:6" x14ac:dyDescent="0.25">
      <c r="A1542" s="169" t="s">
        <v>15</v>
      </c>
      <c r="B1542" s="170" t="s">
        <v>51</v>
      </c>
      <c r="C1542" s="216"/>
      <c r="D1542" s="216"/>
      <c r="E1542" s="217"/>
      <c r="F1542" s="218">
        <f>F1541*0.15</f>
        <v>4085.3999999999996</v>
      </c>
    </row>
    <row r="1543" spans="1:6" ht="14.4" thickBot="1" x14ac:dyDescent="0.3">
      <c r="A1543" s="219" t="s">
        <v>16</v>
      </c>
      <c r="B1543" s="220" t="s">
        <v>17</v>
      </c>
      <c r="C1543" s="221"/>
      <c r="D1543" s="221"/>
      <c r="E1543" s="222"/>
      <c r="F1543" s="223">
        <f>SUM(F1541:F1542)</f>
        <v>31321.4</v>
      </c>
    </row>
    <row r="1545" spans="1:6" ht="14.4" thickBot="1" x14ac:dyDescent="0.3">
      <c r="A1545" s="71" t="s">
        <v>198</v>
      </c>
      <c r="B1545" s="2" t="s">
        <v>473</v>
      </c>
      <c r="C1545" s="3"/>
      <c r="D1545" s="3"/>
      <c r="E1545" s="3"/>
      <c r="F1545" s="3"/>
    </row>
    <row r="1546" spans="1:6" ht="28.2" thickBot="1" x14ac:dyDescent="0.3">
      <c r="A1546" s="4" t="s">
        <v>2</v>
      </c>
      <c r="B1546" s="5" t="s">
        <v>3</v>
      </c>
      <c r="C1546" s="5" t="s">
        <v>0</v>
      </c>
      <c r="D1546" s="5" t="s">
        <v>4</v>
      </c>
      <c r="E1546" s="5" t="s">
        <v>5</v>
      </c>
      <c r="F1546" s="6" t="s">
        <v>6</v>
      </c>
    </row>
    <row r="1547" spans="1:6" x14ac:dyDescent="0.25">
      <c r="A1547" s="7">
        <v>1</v>
      </c>
      <c r="B1547" s="8">
        <v>2</v>
      </c>
      <c r="C1547" s="8">
        <v>3</v>
      </c>
      <c r="D1547" s="8">
        <v>4</v>
      </c>
      <c r="E1547" s="8">
        <v>5</v>
      </c>
      <c r="F1547" s="9">
        <v>6</v>
      </c>
    </row>
    <row r="1548" spans="1:6" x14ac:dyDescent="0.25">
      <c r="A1548" s="10" t="s">
        <v>1</v>
      </c>
      <c r="B1548" s="11" t="s">
        <v>150</v>
      </c>
      <c r="C1548" s="12"/>
      <c r="D1548" s="12"/>
      <c r="E1548" s="12"/>
      <c r="F1548" s="13"/>
    </row>
    <row r="1549" spans="1:6" x14ac:dyDescent="0.25">
      <c r="A1549" s="14"/>
      <c r="B1549" s="15" t="s">
        <v>151</v>
      </c>
      <c r="C1549" s="16" t="s">
        <v>7</v>
      </c>
      <c r="D1549" s="69">
        <v>8.1000000000000003E-2</v>
      </c>
      <c r="E1549" s="18">
        <f>'HARGA BAHAN'!E4</f>
        <v>125000</v>
      </c>
      <c r="F1549" s="19">
        <f t="shared" ref="F1549" si="45">+D1549*E1549</f>
        <v>10125</v>
      </c>
    </row>
    <row r="1550" spans="1:6" x14ac:dyDescent="0.25">
      <c r="A1550" s="14"/>
      <c r="B1550" s="20" t="s">
        <v>199</v>
      </c>
      <c r="C1550" s="21" t="s">
        <v>7</v>
      </c>
      <c r="D1550" s="158">
        <v>0.13500000000000001</v>
      </c>
      <c r="E1550" s="18">
        <f>'HARGA BAHAN'!E5</f>
        <v>160000</v>
      </c>
      <c r="F1550" s="159">
        <f>+D1550*E1550</f>
        <v>21600</v>
      </c>
    </row>
    <row r="1551" spans="1:6" x14ac:dyDescent="0.25">
      <c r="A1551" s="14"/>
      <c r="B1551" s="15" t="s">
        <v>153</v>
      </c>
      <c r="C1551" s="16" t="s">
        <v>7</v>
      </c>
      <c r="D1551" s="158">
        <v>1.35E-2</v>
      </c>
      <c r="E1551" s="18">
        <f>'HARGA BAHAN'!E6</f>
        <v>180000</v>
      </c>
      <c r="F1551" s="19">
        <f t="shared" ref="F1551:F1552" si="46">+D1551*E1551</f>
        <v>2430</v>
      </c>
    </row>
    <row r="1552" spans="1:6" ht="14.4" thickBot="1" x14ac:dyDescent="0.3">
      <c r="A1552" s="24"/>
      <c r="B1552" s="25" t="s">
        <v>154</v>
      </c>
      <c r="C1552" s="26" t="s">
        <v>7</v>
      </c>
      <c r="D1552" s="70">
        <v>4.0000000000000001E-3</v>
      </c>
      <c r="E1552" s="18">
        <f>'HARGA BAHAN'!E7</f>
        <v>175000</v>
      </c>
      <c r="F1552" s="157">
        <f t="shared" si="46"/>
        <v>700</v>
      </c>
    </row>
    <row r="1553" spans="1:6" ht="14.4" thickBot="1" x14ac:dyDescent="0.3">
      <c r="A1553" s="28"/>
      <c r="B1553" s="29"/>
      <c r="C1553" s="30"/>
      <c r="D1553" s="31" t="s">
        <v>8</v>
      </c>
      <c r="E1553" s="32"/>
      <c r="F1553" s="33">
        <f>SUM(F1549:F1552)</f>
        <v>34855</v>
      </c>
    </row>
    <row r="1554" spans="1:6" x14ac:dyDescent="0.25">
      <c r="A1554" s="34" t="s">
        <v>9</v>
      </c>
      <c r="B1554" s="35" t="s">
        <v>155</v>
      </c>
      <c r="C1554" s="36"/>
      <c r="D1554" s="36"/>
      <c r="E1554" s="36"/>
      <c r="F1554" s="37"/>
    </row>
    <row r="1555" spans="1:6" x14ac:dyDescent="0.25">
      <c r="A1555" s="38"/>
      <c r="B1555" s="39" t="s">
        <v>474</v>
      </c>
      <c r="C1555" s="40" t="s">
        <v>200</v>
      </c>
      <c r="D1555" s="41">
        <v>1.2</v>
      </c>
      <c r="E1555" s="42">
        <f>'HARGA BAHAN'!E106</f>
        <v>62500</v>
      </c>
      <c r="F1555" s="43">
        <f t="shared" ref="F1555" si="47">+D1555*E1555</f>
        <v>75000</v>
      </c>
    </row>
    <row r="1556" spans="1:6" ht="14.4" thickBot="1" x14ac:dyDescent="0.3">
      <c r="A1556" s="14"/>
      <c r="B1556" s="15" t="s">
        <v>201</v>
      </c>
      <c r="C1556" s="16" t="s">
        <v>202</v>
      </c>
      <c r="D1556" s="17">
        <v>35</v>
      </c>
      <c r="E1556" s="18">
        <f>E1555</f>
        <v>62500</v>
      </c>
      <c r="F1556" s="19">
        <f>E1556*D1556/100</f>
        <v>21875</v>
      </c>
    </row>
    <row r="1557" spans="1:6" ht="14.4" thickBot="1" x14ac:dyDescent="0.3">
      <c r="A1557" s="28"/>
      <c r="B1557" s="44"/>
      <c r="C1557" s="44"/>
      <c r="D1557" s="45" t="s">
        <v>10</v>
      </c>
      <c r="E1557" s="44"/>
      <c r="F1557" s="33">
        <f>SUM(F1555:F1556)</f>
        <v>96875</v>
      </c>
    </row>
    <row r="1558" spans="1:6" ht="14.4" thickBot="1" x14ac:dyDescent="0.3">
      <c r="A1558" s="34" t="s">
        <v>11</v>
      </c>
      <c r="B1558" s="35" t="s">
        <v>160</v>
      </c>
      <c r="C1558" s="36"/>
      <c r="D1558" s="36"/>
      <c r="E1558" s="36"/>
      <c r="F1558" s="37"/>
    </row>
    <row r="1559" spans="1:6" ht="14.4" thickBot="1" x14ac:dyDescent="0.3">
      <c r="A1559" s="28"/>
      <c r="B1559" s="29"/>
      <c r="C1559" s="30"/>
      <c r="D1559" s="31" t="s">
        <v>12</v>
      </c>
      <c r="E1559" s="32"/>
      <c r="F1559" s="33">
        <v>0</v>
      </c>
    </row>
    <row r="1560" spans="1:6" x14ac:dyDescent="0.25">
      <c r="A1560" s="34" t="s">
        <v>13</v>
      </c>
      <c r="B1560" s="35" t="s">
        <v>14</v>
      </c>
      <c r="C1560" s="52"/>
      <c r="D1560" s="52"/>
      <c r="E1560" s="53"/>
      <c r="F1560" s="54">
        <f>+F1553+F1557+F1559</f>
        <v>131730</v>
      </c>
    </row>
    <row r="1561" spans="1:6" x14ac:dyDescent="0.25">
      <c r="A1561" s="10" t="s">
        <v>15</v>
      </c>
      <c r="B1561" s="11" t="s">
        <v>51</v>
      </c>
      <c r="C1561" s="55"/>
      <c r="D1561" s="55"/>
      <c r="E1561" s="56"/>
      <c r="F1561" s="57">
        <f>F1560*0.15</f>
        <v>19759.5</v>
      </c>
    </row>
    <row r="1562" spans="1:6" ht="14.4" thickBot="1" x14ac:dyDescent="0.3">
      <c r="A1562" s="58" t="s">
        <v>16</v>
      </c>
      <c r="B1562" s="59" t="s">
        <v>17</v>
      </c>
      <c r="C1562" s="60"/>
      <c r="D1562" s="60"/>
      <c r="E1562" s="61"/>
      <c r="F1562" s="62">
        <f>SUM(F1560:F1561)</f>
        <v>151489.5</v>
      </c>
    </row>
    <row r="1564" spans="1:6" ht="14.4" thickBot="1" x14ac:dyDescent="0.3">
      <c r="A1564" s="71" t="s">
        <v>301</v>
      </c>
      <c r="B1564" s="2" t="s">
        <v>302</v>
      </c>
      <c r="C1564" s="3"/>
      <c r="D1564" s="3"/>
      <c r="E1564" s="3"/>
      <c r="F1564" s="3"/>
    </row>
    <row r="1565" spans="1:6" ht="28.2" thickBot="1" x14ac:dyDescent="0.3">
      <c r="A1565" s="4" t="s">
        <v>2</v>
      </c>
      <c r="B1565" s="5" t="s">
        <v>3</v>
      </c>
      <c r="C1565" s="5" t="s">
        <v>0</v>
      </c>
      <c r="D1565" s="5" t="s">
        <v>4</v>
      </c>
      <c r="E1565" s="5" t="s">
        <v>5</v>
      </c>
      <c r="F1565" s="6" t="s">
        <v>6</v>
      </c>
    </row>
    <row r="1566" spans="1:6" x14ac:dyDescent="0.25">
      <c r="A1566" s="7">
        <v>1</v>
      </c>
      <c r="B1566" s="8">
        <v>2</v>
      </c>
      <c r="C1566" s="8">
        <v>3</v>
      </c>
      <c r="D1566" s="8">
        <v>4</v>
      </c>
      <c r="E1566" s="8">
        <v>5</v>
      </c>
      <c r="F1566" s="9">
        <v>6</v>
      </c>
    </row>
    <row r="1567" spans="1:6" x14ac:dyDescent="0.25">
      <c r="A1567" s="10" t="s">
        <v>1</v>
      </c>
      <c r="B1567" s="11" t="s">
        <v>150</v>
      </c>
      <c r="C1567" s="12"/>
      <c r="D1567" s="12"/>
      <c r="E1567" s="12"/>
      <c r="F1567" s="13"/>
    </row>
    <row r="1568" spans="1:6" x14ac:dyDescent="0.25">
      <c r="A1568" s="14"/>
      <c r="B1568" s="15" t="s">
        <v>151</v>
      </c>
      <c r="C1568" s="16" t="s">
        <v>7</v>
      </c>
      <c r="D1568" s="69">
        <v>8.1000000000000003E-2</v>
      </c>
      <c r="E1568" s="18">
        <f>'HARGA BAHAN'!E4</f>
        <v>125000</v>
      </c>
      <c r="F1568" s="19">
        <f>+D1568*E1568</f>
        <v>10125</v>
      </c>
    </row>
    <row r="1569" spans="1:6" x14ac:dyDescent="0.25">
      <c r="A1569" s="14"/>
      <c r="B1569" s="20" t="s">
        <v>199</v>
      </c>
      <c r="C1569" s="21" t="s">
        <v>7</v>
      </c>
      <c r="D1569" s="158">
        <v>0.13500000000000001</v>
      </c>
      <c r="E1569" s="18">
        <f>'HARGA BAHAN'!E5</f>
        <v>160000</v>
      </c>
      <c r="F1569" s="159">
        <f>+D1569*E1569</f>
        <v>21600</v>
      </c>
    </row>
    <row r="1570" spans="1:6" x14ac:dyDescent="0.25">
      <c r="A1570" s="14"/>
      <c r="B1570" s="15" t="s">
        <v>153</v>
      </c>
      <c r="C1570" s="16" t="s">
        <v>7</v>
      </c>
      <c r="D1570" s="158">
        <v>1.35E-2</v>
      </c>
      <c r="E1570" s="18">
        <f>'HARGA BAHAN'!E6</f>
        <v>180000</v>
      </c>
      <c r="F1570" s="19">
        <f>+D1570*E1570</f>
        <v>2430</v>
      </c>
    </row>
    <row r="1571" spans="1:6" ht="14.4" thickBot="1" x14ac:dyDescent="0.3">
      <c r="A1571" s="24"/>
      <c r="B1571" s="25" t="s">
        <v>154</v>
      </c>
      <c r="C1571" s="26" t="s">
        <v>7</v>
      </c>
      <c r="D1571" s="70">
        <v>4.0000000000000001E-3</v>
      </c>
      <c r="E1571" s="18">
        <f>'HARGA BAHAN'!E7</f>
        <v>175000</v>
      </c>
      <c r="F1571" s="157">
        <f>+D1571*E1571</f>
        <v>700</v>
      </c>
    </row>
    <row r="1572" spans="1:6" ht="14.4" thickBot="1" x14ac:dyDescent="0.3">
      <c r="A1572" s="28"/>
      <c r="B1572" s="29"/>
      <c r="C1572" s="30"/>
      <c r="D1572" s="31" t="s">
        <v>8</v>
      </c>
      <c r="E1572" s="32"/>
      <c r="F1572" s="33">
        <f>SUM(F1568:F1571)</f>
        <v>34855</v>
      </c>
    </row>
    <row r="1573" spans="1:6" x14ac:dyDescent="0.25">
      <c r="A1573" s="34" t="s">
        <v>9</v>
      </c>
      <c r="B1573" s="35" t="s">
        <v>155</v>
      </c>
      <c r="C1573" s="36"/>
      <c r="D1573" s="36"/>
      <c r="E1573" s="36"/>
      <c r="F1573" s="37"/>
    </row>
    <row r="1574" spans="1:6" x14ac:dyDescent="0.25">
      <c r="A1574" s="38"/>
      <c r="B1574" s="39" t="s">
        <v>303</v>
      </c>
      <c r="C1574" s="40" t="s">
        <v>200</v>
      </c>
      <c r="D1574" s="41">
        <v>1.2</v>
      </c>
      <c r="E1574" s="42">
        <f>'HARGA BAHAN'!E107</f>
        <v>125000</v>
      </c>
      <c r="F1574" s="43">
        <f>+D1574*E1574</f>
        <v>150000</v>
      </c>
    </row>
    <row r="1575" spans="1:6" ht="14.4" thickBot="1" x14ac:dyDescent="0.3">
      <c r="A1575" s="14"/>
      <c r="B1575" s="15" t="s">
        <v>201</v>
      </c>
      <c r="C1575" s="16" t="s">
        <v>202</v>
      </c>
      <c r="D1575" s="17">
        <v>35</v>
      </c>
      <c r="E1575" s="18">
        <f>F1574</f>
        <v>150000</v>
      </c>
      <c r="F1575" s="19">
        <f>E1575*D1575/100</f>
        <v>52500</v>
      </c>
    </row>
    <row r="1576" spans="1:6" ht="14.4" thickBot="1" x14ac:dyDescent="0.3">
      <c r="A1576" s="28"/>
      <c r="B1576" s="44"/>
      <c r="C1576" s="44"/>
      <c r="D1576" s="45" t="s">
        <v>10</v>
      </c>
      <c r="E1576" s="44"/>
      <c r="F1576" s="33">
        <f>SUM(F1574:F1575)</f>
        <v>202500</v>
      </c>
    </row>
    <row r="1577" spans="1:6" ht="14.4" thickBot="1" x14ac:dyDescent="0.3">
      <c r="A1577" s="34" t="s">
        <v>11</v>
      </c>
      <c r="B1577" s="35" t="s">
        <v>160</v>
      </c>
      <c r="C1577" s="36"/>
      <c r="D1577" s="36"/>
      <c r="E1577" s="36"/>
      <c r="F1577" s="37"/>
    </row>
    <row r="1578" spans="1:6" ht="14.4" thickBot="1" x14ac:dyDescent="0.3">
      <c r="A1578" s="28"/>
      <c r="B1578" s="29"/>
      <c r="C1578" s="30"/>
      <c r="D1578" s="31" t="s">
        <v>12</v>
      </c>
      <c r="E1578" s="32"/>
      <c r="F1578" s="33">
        <v>0</v>
      </c>
    </row>
    <row r="1579" spans="1:6" x14ac:dyDescent="0.25">
      <c r="A1579" s="34" t="s">
        <v>13</v>
      </c>
      <c r="B1579" s="35" t="s">
        <v>14</v>
      </c>
      <c r="C1579" s="52"/>
      <c r="D1579" s="52"/>
      <c r="E1579" s="53"/>
      <c r="F1579" s="54">
        <f>+F1572+F1576+F1578</f>
        <v>237355</v>
      </c>
    </row>
    <row r="1580" spans="1:6" x14ac:dyDescent="0.25">
      <c r="A1580" s="10" t="s">
        <v>15</v>
      </c>
      <c r="B1580" s="11" t="s">
        <v>51</v>
      </c>
      <c r="C1580" s="55"/>
      <c r="D1580" s="55"/>
      <c r="E1580" s="56"/>
      <c r="F1580" s="57">
        <f>F1579*0.15</f>
        <v>35603.25</v>
      </c>
    </row>
    <row r="1581" spans="1:6" ht="14.4" thickBot="1" x14ac:dyDescent="0.3">
      <c r="A1581" s="58" t="s">
        <v>16</v>
      </c>
      <c r="B1581" s="59" t="s">
        <v>17</v>
      </c>
      <c r="C1581" s="60"/>
      <c r="D1581" s="60"/>
      <c r="E1581" s="61"/>
      <c r="F1581" s="62">
        <f>SUM(F1579:F1580)</f>
        <v>272958.25</v>
      </c>
    </row>
    <row r="1583" spans="1:6" ht="14.4" thickBot="1" x14ac:dyDescent="0.3">
      <c r="A1583" s="160" t="s">
        <v>501</v>
      </c>
      <c r="B1583" s="161" t="s">
        <v>497</v>
      </c>
      <c r="C1583" s="162"/>
      <c r="D1583" s="162"/>
      <c r="E1583" s="162"/>
      <c r="F1583" s="162"/>
    </row>
    <row r="1584" spans="1:6" ht="28.2" thickBot="1" x14ac:dyDescent="0.3">
      <c r="A1584" s="163" t="s">
        <v>2</v>
      </c>
      <c r="B1584" s="164" t="s">
        <v>3</v>
      </c>
      <c r="C1584" s="164" t="s">
        <v>0</v>
      </c>
      <c r="D1584" s="164" t="s">
        <v>4</v>
      </c>
      <c r="E1584" s="164" t="s">
        <v>5</v>
      </c>
      <c r="F1584" s="165" t="s">
        <v>6</v>
      </c>
    </row>
    <row r="1585" spans="1:6" x14ac:dyDescent="0.25">
      <c r="A1585" s="166">
        <v>1</v>
      </c>
      <c r="B1585" s="167">
        <v>2</v>
      </c>
      <c r="C1585" s="167">
        <v>3</v>
      </c>
      <c r="D1585" s="167">
        <v>4</v>
      </c>
      <c r="E1585" s="167">
        <v>5</v>
      </c>
      <c r="F1585" s="168">
        <v>6</v>
      </c>
    </row>
    <row r="1586" spans="1:6" x14ac:dyDescent="0.25">
      <c r="A1586" s="169" t="s">
        <v>1</v>
      </c>
      <c r="B1586" s="170" t="s">
        <v>150</v>
      </c>
      <c r="C1586" s="171"/>
      <c r="D1586" s="171"/>
      <c r="E1586" s="171"/>
      <c r="F1586" s="172"/>
    </row>
    <row r="1587" spans="1:6" x14ac:dyDescent="0.25">
      <c r="A1587" s="173"/>
      <c r="B1587" s="174" t="s">
        <v>151</v>
      </c>
      <c r="C1587" s="175" t="s">
        <v>7</v>
      </c>
      <c r="D1587" s="568">
        <v>1</v>
      </c>
      <c r="E1587" s="177">
        <f>'HARGA BAHAN'!E4</f>
        <v>125000</v>
      </c>
      <c r="F1587" s="178">
        <f>+D1587*E1587</f>
        <v>125000</v>
      </c>
    </row>
    <row r="1588" spans="1:6" x14ac:dyDescent="0.25">
      <c r="A1588" s="173"/>
      <c r="B1588" s="179" t="s">
        <v>199</v>
      </c>
      <c r="C1588" s="180" t="s">
        <v>7</v>
      </c>
      <c r="D1588" s="569">
        <v>1.5</v>
      </c>
      <c r="E1588" s="177">
        <f>'HARGA BAHAN'!E5</f>
        <v>160000</v>
      </c>
      <c r="F1588" s="423">
        <f>+D1588*E1588</f>
        <v>240000</v>
      </c>
    </row>
    <row r="1589" spans="1:6" x14ac:dyDescent="0.25">
      <c r="A1589" s="173"/>
      <c r="B1589" s="174" t="s">
        <v>153</v>
      </c>
      <c r="C1589" s="175" t="s">
        <v>7</v>
      </c>
      <c r="D1589" s="569">
        <v>0.15</v>
      </c>
      <c r="E1589" s="177">
        <f>'HARGA BAHAN'!E6</f>
        <v>180000</v>
      </c>
      <c r="F1589" s="178">
        <f>+D1589*E1589</f>
        <v>27000</v>
      </c>
    </row>
    <row r="1590" spans="1:6" ht="14.4" thickBot="1" x14ac:dyDescent="0.3">
      <c r="A1590" s="182"/>
      <c r="B1590" s="183" t="s">
        <v>154</v>
      </c>
      <c r="C1590" s="184" t="s">
        <v>7</v>
      </c>
      <c r="D1590" s="570">
        <v>0.16</v>
      </c>
      <c r="E1590" s="177">
        <f>'HARGA BAHAN'!E7</f>
        <v>175000</v>
      </c>
      <c r="F1590" s="424">
        <f>+D1590*E1590</f>
        <v>28000</v>
      </c>
    </row>
    <row r="1591" spans="1:6" ht="14.4" thickBot="1" x14ac:dyDescent="0.3">
      <c r="A1591" s="186"/>
      <c r="B1591" s="187"/>
      <c r="C1591" s="188"/>
      <c r="D1591" s="189" t="s">
        <v>8</v>
      </c>
      <c r="E1591" s="190"/>
      <c r="F1591" s="191">
        <f>SUM(F1587:F1590)</f>
        <v>420000</v>
      </c>
    </row>
    <row r="1592" spans="1:6" x14ac:dyDescent="0.25">
      <c r="A1592" s="192" t="s">
        <v>9</v>
      </c>
      <c r="B1592" s="193" t="s">
        <v>155</v>
      </c>
      <c r="C1592" s="194"/>
      <c r="D1592" s="194"/>
      <c r="E1592" s="194"/>
      <c r="F1592" s="195"/>
    </row>
    <row r="1593" spans="1:6" x14ac:dyDescent="0.25">
      <c r="A1593" s="196"/>
      <c r="B1593" s="197" t="s">
        <v>498</v>
      </c>
      <c r="C1593" s="198" t="s">
        <v>236</v>
      </c>
      <c r="D1593" s="388">
        <v>1</v>
      </c>
      <c r="E1593" s="200">
        <f>'HARGA BAHAN'!E117</f>
        <v>380000</v>
      </c>
      <c r="F1593" s="201">
        <f>+D1593*E1593</f>
        <v>380000</v>
      </c>
    </row>
    <row r="1594" spans="1:6" x14ac:dyDescent="0.25">
      <c r="A1594" s="202"/>
      <c r="B1594" s="179" t="s">
        <v>493</v>
      </c>
      <c r="C1594" s="180" t="s">
        <v>213</v>
      </c>
      <c r="D1594" s="181">
        <v>6</v>
      </c>
      <c r="E1594" s="204">
        <f>'HARGA BAHAN'!E13</f>
        <v>2000</v>
      </c>
      <c r="F1594" s="178">
        <f t="shared" ref="F1594:F1595" si="48">+D1594*E1594</f>
        <v>12000</v>
      </c>
    </row>
    <row r="1595" spans="1:6" ht="14.4" thickBot="1" x14ac:dyDescent="0.3">
      <c r="A1595" s="202"/>
      <c r="B1595" s="179" t="s">
        <v>211</v>
      </c>
      <c r="C1595" s="180" t="s">
        <v>214</v>
      </c>
      <c r="D1595" s="181">
        <v>0.01</v>
      </c>
      <c r="E1595" s="204">
        <f>'HARGA BAHAN'!E15</f>
        <v>210000</v>
      </c>
      <c r="F1595" s="178">
        <f t="shared" si="48"/>
        <v>2100</v>
      </c>
    </row>
    <row r="1596" spans="1:6" ht="14.4" thickBot="1" x14ac:dyDescent="0.3">
      <c r="A1596" s="186"/>
      <c r="B1596" s="205"/>
      <c r="C1596" s="205"/>
      <c r="D1596" s="206" t="s">
        <v>10</v>
      </c>
      <c r="E1596" s="205"/>
      <c r="F1596" s="191">
        <f>SUM(F1593:F1595)</f>
        <v>394100</v>
      </c>
    </row>
    <row r="1597" spans="1:6" ht="14.4" thickBot="1" x14ac:dyDescent="0.3">
      <c r="A1597" s="192" t="s">
        <v>11</v>
      </c>
      <c r="B1597" s="193" t="s">
        <v>160</v>
      </c>
      <c r="C1597" s="194"/>
      <c r="D1597" s="194"/>
      <c r="E1597" s="194"/>
      <c r="F1597" s="195"/>
    </row>
    <row r="1598" spans="1:6" ht="14.4" thickBot="1" x14ac:dyDescent="0.3">
      <c r="A1598" s="186"/>
      <c r="B1598" s="187"/>
      <c r="C1598" s="188"/>
      <c r="D1598" s="189" t="s">
        <v>12</v>
      </c>
      <c r="E1598" s="190"/>
      <c r="F1598" s="191">
        <v>0</v>
      </c>
    </row>
    <row r="1599" spans="1:6" x14ac:dyDescent="0.25">
      <c r="A1599" s="192" t="s">
        <v>13</v>
      </c>
      <c r="B1599" s="193" t="s">
        <v>14</v>
      </c>
      <c r="C1599" s="213"/>
      <c r="D1599" s="213"/>
      <c r="E1599" s="214"/>
      <c r="F1599" s="215">
        <f>+F1591+F1596+F1598</f>
        <v>814100</v>
      </c>
    </row>
    <row r="1600" spans="1:6" x14ac:dyDescent="0.25">
      <c r="A1600" s="169" t="s">
        <v>15</v>
      </c>
      <c r="B1600" s="170" t="s">
        <v>51</v>
      </c>
      <c r="C1600" s="216"/>
      <c r="D1600" s="216"/>
      <c r="E1600" s="217"/>
      <c r="F1600" s="218">
        <f>F1599*0.15</f>
        <v>122115</v>
      </c>
    </row>
    <row r="1601" spans="1:6" ht="14.4" thickBot="1" x14ac:dyDescent="0.3">
      <c r="A1601" s="219" t="s">
        <v>16</v>
      </c>
      <c r="B1601" s="220" t="s">
        <v>17</v>
      </c>
      <c r="C1601" s="221"/>
      <c r="D1601" s="221"/>
      <c r="E1601" s="222"/>
      <c r="F1601" s="223">
        <f>SUM(F1599:F1600)</f>
        <v>936215</v>
      </c>
    </row>
    <row r="1603" spans="1:6" ht="14.4" thickBot="1" x14ac:dyDescent="0.3">
      <c r="A1603" s="160" t="s">
        <v>499</v>
      </c>
      <c r="B1603" s="161" t="s">
        <v>500</v>
      </c>
      <c r="C1603" s="162"/>
      <c r="D1603" s="162"/>
      <c r="E1603" s="162"/>
      <c r="F1603" s="162"/>
    </row>
    <row r="1604" spans="1:6" ht="28.2" thickBot="1" x14ac:dyDescent="0.3">
      <c r="A1604" s="163" t="s">
        <v>2</v>
      </c>
      <c r="B1604" s="164" t="s">
        <v>3</v>
      </c>
      <c r="C1604" s="164" t="s">
        <v>0</v>
      </c>
      <c r="D1604" s="164" t="s">
        <v>4</v>
      </c>
      <c r="E1604" s="164" t="s">
        <v>5</v>
      </c>
      <c r="F1604" s="165" t="s">
        <v>6</v>
      </c>
    </row>
    <row r="1605" spans="1:6" x14ac:dyDescent="0.25">
      <c r="A1605" s="166">
        <v>1</v>
      </c>
      <c r="B1605" s="167">
        <v>2</v>
      </c>
      <c r="C1605" s="167">
        <v>3</v>
      </c>
      <c r="D1605" s="167">
        <v>4</v>
      </c>
      <c r="E1605" s="167">
        <v>5</v>
      </c>
      <c r="F1605" s="168">
        <v>6</v>
      </c>
    </row>
    <row r="1606" spans="1:6" x14ac:dyDescent="0.25">
      <c r="A1606" s="169" t="s">
        <v>1</v>
      </c>
      <c r="B1606" s="170" t="s">
        <v>150</v>
      </c>
      <c r="C1606" s="171"/>
      <c r="D1606" s="171"/>
      <c r="E1606" s="171"/>
      <c r="F1606" s="172"/>
    </row>
    <row r="1607" spans="1:6" x14ac:dyDescent="0.25">
      <c r="A1607" s="173"/>
      <c r="B1607" s="174" t="s">
        <v>151</v>
      </c>
      <c r="C1607" s="175" t="s">
        <v>7</v>
      </c>
      <c r="D1607" s="568">
        <v>0.01</v>
      </c>
      <c r="E1607" s="177">
        <f>'HARGA BAHAN'!E4</f>
        <v>125000</v>
      </c>
      <c r="F1607" s="178">
        <f>+D1607*E1607</f>
        <v>1250</v>
      </c>
    </row>
    <row r="1608" spans="1:6" x14ac:dyDescent="0.25">
      <c r="A1608" s="173"/>
      <c r="B1608" s="179" t="s">
        <v>199</v>
      </c>
      <c r="C1608" s="180" t="s">
        <v>7</v>
      </c>
      <c r="D1608" s="569">
        <v>0.1</v>
      </c>
      <c r="E1608" s="177">
        <f>'HARGA BAHAN'!E5</f>
        <v>160000</v>
      </c>
      <c r="F1608" s="423">
        <f>+D1608*E1608</f>
        <v>16000</v>
      </c>
    </row>
    <row r="1609" spans="1:6" x14ac:dyDescent="0.25">
      <c r="A1609" s="173"/>
      <c r="B1609" s="174" t="s">
        <v>153</v>
      </c>
      <c r="C1609" s="175" t="s">
        <v>7</v>
      </c>
      <c r="D1609" s="569">
        <v>0.01</v>
      </c>
      <c r="E1609" s="177">
        <f>'HARGA BAHAN'!E6</f>
        <v>180000</v>
      </c>
      <c r="F1609" s="178">
        <f>+D1609*E1609</f>
        <v>1800</v>
      </c>
    </row>
    <row r="1610" spans="1:6" ht="14.4" thickBot="1" x14ac:dyDescent="0.3">
      <c r="A1610" s="182"/>
      <c r="B1610" s="183" t="s">
        <v>154</v>
      </c>
      <c r="C1610" s="184" t="s">
        <v>7</v>
      </c>
      <c r="D1610" s="570">
        <v>5.0000000000000001E-3</v>
      </c>
      <c r="E1610" s="177">
        <f>'HARGA BAHAN'!E7</f>
        <v>175000</v>
      </c>
      <c r="F1610" s="424">
        <f>+D1610*E1610</f>
        <v>875</v>
      </c>
    </row>
    <row r="1611" spans="1:6" ht="14.4" thickBot="1" x14ac:dyDescent="0.3">
      <c r="A1611" s="186"/>
      <c r="B1611" s="187"/>
      <c r="C1611" s="188"/>
      <c r="D1611" s="189" t="s">
        <v>8</v>
      </c>
      <c r="E1611" s="190"/>
      <c r="F1611" s="191">
        <f>SUM(F1607:F1610)</f>
        <v>19925</v>
      </c>
    </row>
    <row r="1612" spans="1:6" x14ac:dyDescent="0.25">
      <c r="A1612" s="192" t="s">
        <v>9</v>
      </c>
      <c r="B1612" s="193" t="s">
        <v>155</v>
      </c>
      <c r="C1612" s="194"/>
      <c r="D1612" s="194"/>
      <c r="E1612" s="194"/>
      <c r="F1612" s="195"/>
    </row>
    <row r="1613" spans="1:6" ht="14.4" thickBot="1" x14ac:dyDescent="0.3">
      <c r="A1613" s="196"/>
      <c r="B1613" s="197" t="s">
        <v>502</v>
      </c>
      <c r="C1613" s="198" t="s">
        <v>236</v>
      </c>
      <c r="D1613" s="388">
        <v>1</v>
      </c>
      <c r="E1613" s="200">
        <f>'HARGA BAHAN'!E118</f>
        <v>126000</v>
      </c>
      <c r="F1613" s="201">
        <f>+D1613*E1613</f>
        <v>126000</v>
      </c>
    </row>
    <row r="1614" spans="1:6" ht="14.4" thickBot="1" x14ac:dyDescent="0.3">
      <c r="A1614" s="186"/>
      <c r="B1614" s="205"/>
      <c r="C1614" s="205"/>
      <c r="D1614" s="206" t="s">
        <v>10</v>
      </c>
      <c r="E1614" s="205"/>
      <c r="F1614" s="191">
        <f>SUM(F1613:F1613)</f>
        <v>126000</v>
      </c>
    </row>
    <row r="1615" spans="1:6" ht="14.4" thickBot="1" x14ac:dyDescent="0.3">
      <c r="A1615" s="192" t="s">
        <v>11</v>
      </c>
      <c r="B1615" s="193" t="s">
        <v>160</v>
      </c>
      <c r="C1615" s="194"/>
      <c r="D1615" s="194"/>
      <c r="E1615" s="194"/>
      <c r="F1615" s="195"/>
    </row>
    <row r="1616" spans="1:6" ht="14.4" thickBot="1" x14ac:dyDescent="0.3">
      <c r="A1616" s="186"/>
      <c r="B1616" s="187"/>
      <c r="C1616" s="188"/>
      <c r="D1616" s="189" t="s">
        <v>12</v>
      </c>
      <c r="E1616" s="190"/>
      <c r="F1616" s="191">
        <v>0</v>
      </c>
    </row>
    <row r="1617" spans="1:6" x14ac:dyDescent="0.25">
      <c r="A1617" s="192" t="s">
        <v>13</v>
      </c>
      <c r="B1617" s="193" t="s">
        <v>14</v>
      </c>
      <c r="C1617" s="213"/>
      <c r="D1617" s="213"/>
      <c r="E1617" s="214"/>
      <c r="F1617" s="215">
        <f>+F1611+F1614+F1616</f>
        <v>145925</v>
      </c>
    </row>
    <row r="1618" spans="1:6" x14ac:dyDescent="0.25">
      <c r="A1618" s="169" t="s">
        <v>15</v>
      </c>
      <c r="B1618" s="170" t="s">
        <v>51</v>
      </c>
      <c r="C1618" s="216"/>
      <c r="D1618" s="216"/>
      <c r="E1618" s="217"/>
      <c r="F1618" s="218">
        <f>F1617*0.15</f>
        <v>21888.75</v>
      </c>
    </row>
    <row r="1619" spans="1:6" ht="14.4" thickBot="1" x14ac:dyDescent="0.3">
      <c r="A1619" s="219" t="s">
        <v>16</v>
      </c>
      <c r="B1619" s="220" t="s">
        <v>17</v>
      </c>
      <c r="C1619" s="221"/>
      <c r="D1619" s="221"/>
      <c r="E1619" s="222"/>
      <c r="F1619" s="223">
        <f>SUM(F1617:F1618)</f>
        <v>167813.75</v>
      </c>
    </row>
    <row r="1621" spans="1:6" x14ac:dyDescent="0.25">
      <c r="A1621" s="160" t="s">
        <v>534</v>
      </c>
      <c r="B1621" s="160" t="s">
        <v>535</v>
      </c>
    </row>
    <row r="1622" spans="1:6" ht="14.4" thickBot="1" x14ac:dyDescent="0.3">
      <c r="A1622" s="160"/>
      <c r="B1622" s="161" t="s">
        <v>536</v>
      </c>
      <c r="C1622" s="162"/>
      <c r="D1622" s="162"/>
      <c r="E1622" s="162"/>
      <c r="F1622" s="162"/>
    </row>
    <row r="1623" spans="1:6" ht="28.2" thickBot="1" x14ac:dyDescent="0.3">
      <c r="A1623" s="163" t="s">
        <v>2</v>
      </c>
      <c r="B1623" s="164" t="s">
        <v>3</v>
      </c>
      <c r="C1623" s="164" t="s">
        <v>0</v>
      </c>
      <c r="D1623" s="164" t="s">
        <v>4</v>
      </c>
      <c r="E1623" s="164" t="s">
        <v>5</v>
      </c>
      <c r="F1623" s="165" t="s">
        <v>6</v>
      </c>
    </row>
    <row r="1624" spans="1:6" x14ac:dyDescent="0.25">
      <c r="A1624" s="166">
        <v>1</v>
      </c>
      <c r="B1624" s="167">
        <v>2</v>
      </c>
      <c r="C1624" s="167">
        <v>3</v>
      </c>
      <c r="D1624" s="167">
        <v>4</v>
      </c>
      <c r="E1624" s="167">
        <v>5</v>
      </c>
      <c r="F1624" s="168">
        <v>6</v>
      </c>
    </row>
    <row r="1625" spans="1:6" x14ac:dyDescent="0.25">
      <c r="A1625" s="169" t="s">
        <v>1</v>
      </c>
      <c r="B1625" s="170" t="s">
        <v>150</v>
      </c>
      <c r="C1625" s="171"/>
      <c r="D1625" s="171"/>
      <c r="E1625" s="171"/>
      <c r="F1625" s="172"/>
    </row>
    <row r="1626" spans="1:6" x14ac:dyDescent="0.25">
      <c r="A1626" s="173"/>
      <c r="B1626" s="174" t="s">
        <v>151</v>
      </c>
      <c r="C1626" s="175" t="s">
        <v>7</v>
      </c>
      <c r="D1626" s="568">
        <v>5.3999999999999999E-2</v>
      </c>
      <c r="E1626" s="177">
        <f>'HARGA BAHAN'!E4</f>
        <v>125000</v>
      </c>
      <c r="F1626" s="178">
        <f>+D1626*E1626</f>
        <v>6750</v>
      </c>
    </row>
    <row r="1627" spans="1:6" x14ac:dyDescent="0.25">
      <c r="A1627" s="173"/>
      <c r="B1627" s="179" t="s">
        <v>199</v>
      </c>
      <c r="C1627" s="180" t="s">
        <v>7</v>
      </c>
      <c r="D1627" s="569">
        <v>0.09</v>
      </c>
      <c r="E1627" s="177">
        <f>'HARGA BAHAN'!E5</f>
        <v>160000</v>
      </c>
      <c r="F1627" s="423">
        <f>+D1627*E1627</f>
        <v>14400</v>
      </c>
    </row>
    <row r="1628" spans="1:6" x14ac:dyDescent="0.25">
      <c r="A1628" s="173"/>
      <c r="B1628" s="174" t="s">
        <v>153</v>
      </c>
      <c r="C1628" s="175" t="s">
        <v>7</v>
      </c>
      <c r="D1628" s="569">
        <v>8.9999999999999993E-3</v>
      </c>
      <c r="E1628" s="177">
        <f>'HARGA BAHAN'!E6</f>
        <v>180000</v>
      </c>
      <c r="F1628" s="178">
        <f>+D1628*E1628</f>
        <v>1619.9999999999998</v>
      </c>
    </row>
    <row r="1629" spans="1:6" ht="14.4" thickBot="1" x14ac:dyDescent="0.3">
      <c r="A1629" s="182"/>
      <c r="B1629" s="183" t="s">
        <v>154</v>
      </c>
      <c r="C1629" s="184" t="s">
        <v>7</v>
      </c>
      <c r="D1629" s="570">
        <v>2.7E-2</v>
      </c>
      <c r="E1629" s="177">
        <f>'HARGA BAHAN'!E7</f>
        <v>175000</v>
      </c>
      <c r="F1629" s="424">
        <f>+D1629*E1629</f>
        <v>4725</v>
      </c>
    </row>
    <row r="1630" spans="1:6" ht="14.4" thickBot="1" x14ac:dyDescent="0.3">
      <c r="A1630" s="186"/>
      <c r="B1630" s="187"/>
      <c r="C1630" s="188"/>
      <c r="D1630" s="189" t="s">
        <v>8</v>
      </c>
      <c r="E1630" s="190"/>
      <c r="F1630" s="191">
        <f>SUM(F1626:F1629)</f>
        <v>27495</v>
      </c>
    </row>
    <row r="1631" spans="1:6" x14ac:dyDescent="0.25">
      <c r="A1631" s="192" t="s">
        <v>9</v>
      </c>
      <c r="B1631" s="193" t="s">
        <v>155</v>
      </c>
      <c r="C1631" s="194"/>
      <c r="D1631" s="194"/>
      <c r="E1631" s="194"/>
      <c r="F1631" s="195"/>
    </row>
    <row r="1632" spans="1:6" x14ac:dyDescent="0.25">
      <c r="A1632" s="196"/>
      <c r="B1632" s="197" t="s">
        <v>538</v>
      </c>
      <c r="C1632" s="198" t="s">
        <v>200</v>
      </c>
      <c r="D1632" s="388">
        <v>1.2</v>
      </c>
      <c r="E1632" s="200">
        <f>'HARGA BAHAN'!E55</f>
        <v>40833.333333333336</v>
      </c>
      <c r="F1632" s="201">
        <f>+D1632*E1632</f>
        <v>49000</v>
      </c>
    </row>
    <row r="1633" spans="1:6" x14ac:dyDescent="0.25">
      <c r="A1633" s="173"/>
      <c r="B1633" s="174" t="s">
        <v>545</v>
      </c>
      <c r="C1633" s="175" t="s">
        <v>213</v>
      </c>
      <c r="D1633" s="176">
        <v>0.05</v>
      </c>
      <c r="E1633" s="177">
        <f>'HARGA BAHAN'!E26</f>
        <v>44700</v>
      </c>
      <c r="F1633" s="178">
        <f>+D1633*E1633</f>
        <v>2235</v>
      </c>
    </row>
    <row r="1634" spans="1:6" ht="14.4" thickBot="1" x14ac:dyDescent="0.3">
      <c r="A1634" s="378"/>
      <c r="B1634" s="379" t="s">
        <v>537</v>
      </c>
      <c r="C1634" s="380" t="s">
        <v>202</v>
      </c>
      <c r="D1634" s="663">
        <v>35</v>
      </c>
      <c r="E1634" s="382">
        <f>SUM(F1632:F1633)</f>
        <v>51235</v>
      </c>
      <c r="F1634" s="383">
        <f>(D1634*E1634)/100</f>
        <v>17932.25</v>
      </c>
    </row>
    <row r="1635" spans="1:6" ht="14.4" thickBot="1" x14ac:dyDescent="0.3">
      <c r="A1635" s="186"/>
      <c r="B1635" s="205"/>
      <c r="C1635" s="205"/>
      <c r="D1635" s="206" t="s">
        <v>10</v>
      </c>
      <c r="E1635" s="205"/>
      <c r="F1635" s="191">
        <f>SUM(F1632:F1632)</f>
        <v>49000</v>
      </c>
    </row>
    <row r="1636" spans="1:6" ht="14.4" thickBot="1" x14ac:dyDescent="0.3">
      <c r="A1636" s="192" t="s">
        <v>11</v>
      </c>
      <c r="B1636" s="193" t="s">
        <v>160</v>
      </c>
      <c r="C1636" s="194"/>
      <c r="D1636" s="194"/>
      <c r="E1636" s="194"/>
      <c r="F1636" s="195"/>
    </row>
    <row r="1637" spans="1:6" ht="14.4" thickBot="1" x14ac:dyDescent="0.3">
      <c r="A1637" s="186"/>
      <c r="B1637" s="187"/>
      <c r="C1637" s="188"/>
      <c r="D1637" s="189" t="s">
        <v>12</v>
      </c>
      <c r="E1637" s="190"/>
      <c r="F1637" s="191">
        <v>0</v>
      </c>
    </row>
    <row r="1638" spans="1:6" x14ac:dyDescent="0.25">
      <c r="A1638" s="192" t="s">
        <v>13</v>
      </c>
      <c r="B1638" s="193" t="s">
        <v>14</v>
      </c>
      <c r="C1638" s="213"/>
      <c r="D1638" s="213"/>
      <c r="E1638" s="214"/>
      <c r="F1638" s="215">
        <f>+F1630+F1635+F1637</f>
        <v>76495</v>
      </c>
    </row>
    <row r="1639" spans="1:6" x14ac:dyDescent="0.25">
      <c r="A1639" s="169" t="s">
        <v>15</v>
      </c>
      <c r="B1639" s="170" t="s">
        <v>51</v>
      </c>
      <c r="C1639" s="216"/>
      <c r="D1639" s="216"/>
      <c r="E1639" s="217"/>
      <c r="F1639" s="218">
        <f>F1638*0.15</f>
        <v>11474.25</v>
      </c>
    </row>
    <row r="1640" spans="1:6" ht="14.4" thickBot="1" x14ac:dyDescent="0.3">
      <c r="A1640" s="219" t="s">
        <v>16</v>
      </c>
      <c r="B1640" s="220" t="s">
        <v>17</v>
      </c>
      <c r="C1640" s="221"/>
      <c r="D1640" s="221"/>
      <c r="E1640" s="222"/>
      <c r="F1640" s="223">
        <f>SUM(F1638:F1639)</f>
        <v>87969.25</v>
      </c>
    </row>
    <row r="1642" spans="1:6" ht="14.4" thickBot="1" x14ac:dyDescent="0.3">
      <c r="A1642" s="160" t="s">
        <v>546</v>
      </c>
      <c r="B1642" s="161" t="s">
        <v>547</v>
      </c>
      <c r="C1642" s="162"/>
      <c r="D1642" s="162"/>
      <c r="E1642" s="162"/>
      <c r="F1642" s="162"/>
    </row>
    <row r="1643" spans="1:6" ht="28.2" thickBot="1" x14ac:dyDescent="0.3">
      <c r="A1643" s="163" t="s">
        <v>2</v>
      </c>
      <c r="B1643" s="164" t="s">
        <v>3</v>
      </c>
      <c r="C1643" s="164" t="s">
        <v>0</v>
      </c>
      <c r="D1643" s="164" t="s">
        <v>4</v>
      </c>
      <c r="E1643" s="164" t="s">
        <v>5</v>
      </c>
      <c r="F1643" s="165" t="s">
        <v>6</v>
      </c>
    </row>
    <row r="1644" spans="1:6" x14ac:dyDescent="0.25">
      <c r="A1644" s="166">
        <v>1</v>
      </c>
      <c r="B1644" s="167">
        <v>2</v>
      </c>
      <c r="C1644" s="167">
        <v>3</v>
      </c>
      <c r="D1644" s="167">
        <v>4</v>
      </c>
      <c r="E1644" s="167">
        <v>5</v>
      </c>
      <c r="F1644" s="168">
        <v>6</v>
      </c>
    </row>
    <row r="1645" spans="1:6" x14ac:dyDescent="0.25">
      <c r="A1645" s="169" t="s">
        <v>1</v>
      </c>
      <c r="B1645" s="170" t="s">
        <v>150</v>
      </c>
      <c r="C1645" s="171"/>
      <c r="D1645" s="171"/>
      <c r="E1645" s="171"/>
      <c r="F1645" s="172"/>
    </row>
    <row r="1646" spans="1:6" x14ac:dyDescent="0.25">
      <c r="A1646" s="173"/>
      <c r="B1646" s="174" t="s">
        <v>151</v>
      </c>
      <c r="C1646" s="175" t="s">
        <v>7</v>
      </c>
      <c r="D1646" s="568">
        <f>0.054/2</f>
        <v>2.7E-2</v>
      </c>
      <c r="E1646" s="177">
        <f>'HARGA BAHAN'!E4</f>
        <v>125000</v>
      </c>
      <c r="F1646" s="178">
        <f>+D1646*E1646</f>
        <v>3375</v>
      </c>
    </row>
    <row r="1647" spans="1:6" x14ac:dyDescent="0.25">
      <c r="A1647" s="173"/>
      <c r="B1647" s="179" t="s">
        <v>199</v>
      </c>
      <c r="C1647" s="180" t="s">
        <v>7</v>
      </c>
      <c r="D1647" s="569">
        <f>0.09/2</f>
        <v>4.4999999999999998E-2</v>
      </c>
      <c r="E1647" s="177">
        <f>'HARGA BAHAN'!E5</f>
        <v>160000</v>
      </c>
      <c r="F1647" s="423">
        <f>+D1647*E1647</f>
        <v>7200</v>
      </c>
    </row>
    <row r="1648" spans="1:6" x14ac:dyDescent="0.25">
      <c r="A1648" s="173"/>
      <c r="B1648" s="174" t="s">
        <v>153</v>
      </c>
      <c r="C1648" s="175" t="s">
        <v>7</v>
      </c>
      <c r="D1648" s="569">
        <f>0.009/2</f>
        <v>4.4999999999999997E-3</v>
      </c>
      <c r="E1648" s="177">
        <f>'HARGA BAHAN'!E6</f>
        <v>180000</v>
      </c>
      <c r="F1648" s="178">
        <f>+D1648*E1648</f>
        <v>809.99999999999989</v>
      </c>
    </row>
    <row r="1649" spans="1:6" ht="14.4" thickBot="1" x14ac:dyDescent="0.3">
      <c r="A1649" s="182"/>
      <c r="B1649" s="183" t="s">
        <v>154</v>
      </c>
      <c r="C1649" s="184" t="s">
        <v>7</v>
      </c>
      <c r="D1649" s="570">
        <f>0.027/2</f>
        <v>1.35E-2</v>
      </c>
      <c r="E1649" s="177">
        <f>'HARGA BAHAN'!E7</f>
        <v>175000</v>
      </c>
      <c r="F1649" s="424">
        <f>+D1649*E1649</f>
        <v>2362.5</v>
      </c>
    </row>
    <row r="1650" spans="1:6" ht="14.4" thickBot="1" x14ac:dyDescent="0.3">
      <c r="A1650" s="186"/>
      <c r="B1650" s="187"/>
      <c r="C1650" s="188"/>
      <c r="D1650" s="189" t="s">
        <v>8</v>
      </c>
      <c r="E1650" s="190"/>
      <c r="F1650" s="191">
        <f>SUM(F1646:F1649)</f>
        <v>13747.5</v>
      </c>
    </row>
    <row r="1651" spans="1:6" x14ac:dyDescent="0.25">
      <c r="A1651" s="192" t="s">
        <v>9</v>
      </c>
      <c r="B1651" s="193" t="s">
        <v>155</v>
      </c>
      <c r="C1651" s="194"/>
      <c r="D1651" s="194"/>
      <c r="E1651" s="194"/>
      <c r="F1651" s="195"/>
    </row>
    <row r="1652" spans="1:6" x14ac:dyDescent="0.25">
      <c r="A1652" s="196"/>
      <c r="B1652" s="197" t="s">
        <v>548</v>
      </c>
      <c r="C1652" s="198" t="s">
        <v>200</v>
      </c>
      <c r="D1652" s="388">
        <v>1.2</v>
      </c>
      <c r="E1652" s="200">
        <f>'HARGA BAHAN'!E53</f>
        <v>32000</v>
      </c>
      <c r="F1652" s="201">
        <f>+D1652*E1652</f>
        <v>38400</v>
      </c>
    </row>
    <row r="1653" spans="1:6" x14ac:dyDescent="0.25">
      <c r="A1653" s="173"/>
      <c r="B1653" s="174" t="s">
        <v>545</v>
      </c>
      <c r="C1653" s="175" t="s">
        <v>213</v>
      </c>
      <c r="D1653" s="176">
        <v>2.5000000000000001E-2</v>
      </c>
      <c r="E1653" s="177">
        <f>'HARGA BAHAN'!E26</f>
        <v>44700</v>
      </c>
      <c r="F1653" s="178">
        <f>+D1653*E1653</f>
        <v>1117.5</v>
      </c>
    </row>
    <row r="1654" spans="1:6" ht="14.4" thickBot="1" x14ac:dyDescent="0.3">
      <c r="A1654" s="378"/>
      <c r="B1654" s="379" t="s">
        <v>537</v>
      </c>
      <c r="C1654" s="380" t="s">
        <v>202</v>
      </c>
      <c r="D1654" s="663">
        <v>35</v>
      </c>
      <c r="E1654" s="382">
        <f>SUM(F1652:F1653)</f>
        <v>39517.5</v>
      </c>
      <c r="F1654" s="383">
        <f>(D1654*E1654)/100</f>
        <v>13831.125</v>
      </c>
    </row>
    <row r="1655" spans="1:6" ht="14.4" thickBot="1" x14ac:dyDescent="0.3">
      <c r="A1655" s="186"/>
      <c r="B1655" s="205"/>
      <c r="C1655" s="205"/>
      <c r="D1655" s="206" t="s">
        <v>10</v>
      </c>
      <c r="E1655" s="205"/>
      <c r="F1655" s="191">
        <f>SUM(F1652:F1652)</f>
        <v>38400</v>
      </c>
    </row>
    <row r="1656" spans="1:6" ht="14.4" thickBot="1" x14ac:dyDescent="0.3">
      <c r="A1656" s="192" t="s">
        <v>11</v>
      </c>
      <c r="B1656" s="193" t="s">
        <v>160</v>
      </c>
      <c r="C1656" s="194"/>
      <c r="D1656" s="194"/>
      <c r="E1656" s="194"/>
      <c r="F1656" s="195"/>
    </row>
    <row r="1657" spans="1:6" ht="14.4" thickBot="1" x14ac:dyDescent="0.3">
      <c r="A1657" s="186"/>
      <c r="B1657" s="187"/>
      <c r="C1657" s="188"/>
      <c r="D1657" s="189" t="s">
        <v>12</v>
      </c>
      <c r="E1657" s="190"/>
      <c r="F1657" s="191">
        <v>0</v>
      </c>
    </row>
    <row r="1658" spans="1:6" x14ac:dyDescent="0.25">
      <c r="A1658" s="192" t="s">
        <v>13</v>
      </c>
      <c r="B1658" s="193" t="s">
        <v>14</v>
      </c>
      <c r="C1658" s="213"/>
      <c r="D1658" s="213"/>
      <c r="E1658" s="214"/>
      <c r="F1658" s="215">
        <f>+F1650+F1655+F1657</f>
        <v>52147.5</v>
      </c>
    </row>
    <row r="1659" spans="1:6" x14ac:dyDescent="0.25">
      <c r="A1659" s="169" t="s">
        <v>15</v>
      </c>
      <c r="B1659" s="170" t="s">
        <v>51</v>
      </c>
      <c r="C1659" s="216"/>
      <c r="D1659" s="216"/>
      <c r="E1659" s="217"/>
      <c r="F1659" s="218">
        <f>F1658*0.15</f>
        <v>7822.125</v>
      </c>
    </row>
    <row r="1660" spans="1:6" ht="14.4" thickBot="1" x14ac:dyDescent="0.3">
      <c r="A1660" s="219" t="s">
        <v>16</v>
      </c>
      <c r="B1660" s="220" t="s">
        <v>17</v>
      </c>
      <c r="C1660" s="221"/>
      <c r="D1660" s="221"/>
      <c r="E1660" s="222"/>
      <c r="F1660" s="223">
        <f>SUM(F1658:F1659)</f>
        <v>59969.625</v>
      </c>
    </row>
    <row r="1662" spans="1:6" x14ac:dyDescent="0.25">
      <c r="A1662" s="160" t="s">
        <v>549</v>
      </c>
      <c r="B1662" s="160" t="s">
        <v>552</v>
      </c>
    </row>
    <row r="1663" spans="1:6" ht="14.4" thickBot="1" x14ac:dyDescent="0.3">
      <c r="A1663" s="160"/>
      <c r="B1663" s="161" t="s">
        <v>550</v>
      </c>
      <c r="C1663" s="162"/>
      <c r="D1663" s="162"/>
      <c r="E1663" s="162"/>
      <c r="F1663" s="162"/>
    </row>
    <row r="1664" spans="1:6" ht="28.2" thickBot="1" x14ac:dyDescent="0.3">
      <c r="A1664" s="163" t="s">
        <v>2</v>
      </c>
      <c r="B1664" s="164" t="s">
        <v>3</v>
      </c>
      <c r="C1664" s="164" t="s">
        <v>0</v>
      </c>
      <c r="D1664" s="164" t="s">
        <v>4</v>
      </c>
      <c r="E1664" s="164" t="s">
        <v>5</v>
      </c>
      <c r="F1664" s="165" t="s">
        <v>6</v>
      </c>
    </row>
    <row r="1665" spans="1:6" x14ac:dyDescent="0.25">
      <c r="A1665" s="166">
        <v>1</v>
      </c>
      <c r="B1665" s="167">
        <v>2</v>
      </c>
      <c r="C1665" s="167">
        <v>3</v>
      </c>
      <c r="D1665" s="167">
        <v>4</v>
      </c>
      <c r="E1665" s="167">
        <v>5</v>
      </c>
      <c r="F1665" s="168">
        <v>6</v>
      </c>
    </row>
    <row r="1666" spans="1:6" x14ac:dyDescent="0.25">
      <c r="A1666" s="169" t="s">
        <v>1</v>
      </c>
      <c r="B1666" s="170" t="s">
        <v>150</v>
      </c>
      <c r="C1666" s="171"/>
      <c r="D1666" s="171"/>
      <c r="E1666" s="171"/>
      <c r="F1666" s="172"/>
    </row>
    <row r="1667" spans="1:6" x14ac:dyDescent="0.25">
      <c r="A1667" s="173"/>
      <c r="B1667" s="174" t="s">
        <v>151</v>
      </c>
      <c r="C1667" s="175" t="s">
        <v>7</v>
      </c>
      <c r="D1667" s="568">
        <v>5.3999999999999999E-2</v>
      </c>
      <c r="E1667" s="177">
        <f>'HARGA BAHAN'!E4</f>
        <v>125000</v>
      </c>
      <c r="F1667" s="178">
        <f>+D1667*E1667</f>
        <v>6750</v>
      </c>
    </row>
    <row r="1668" spans="1:6" x14ac:dyDescent="0.25">
      <c r="A1668" s="173"/>
      <c r="B1668" s="179" t="s">
        <v>199</v>
      </c>
      <c r="C1668" s="180" t="s">
        <v>7</v>
      </c>
      <c r="D1668" s="569">
        <v>0.09</v>
      </c>
      <c r="E1668" s="177">
        <f>'HARGA BAHAN'!E5</f>
        <v>160000</v>
      </c>
      <c r="F1668" s="423">
        <f>+D1668*E1668</f>
        <v>14400</v>
      </c>
    </row>
    <row r="1669" spans="1:6" x14ac:dyDescent="0.25">
      <c r="A1669" s="173"/>
      <c r="B1669" s="174" t="s">
        <v>153</v>
      </c>
      <c r="C1669" s="175" t="s">
        <v>7</v>
      </c>
      <c r="D1669" s="569">
        <v>8.9999999999999993E-3</v>
      </c>
      <c r="E1669" s="177">
        <f>'HARGA BAHAN'!E6</f>
        <v>180000</v>
      </c>
      <c r="F1669" s="178">
        <f>+D1669*E1669</f>
        <v>1619.9999999999998</v>
      </c>
    </row>
    <row r="1670" spans="1:6" ht="14.4" thickBot="1" x14ac:dyDescent="0.3">
      <c r="A1670" s="182"/>
      <c r="B1670" s="183" t="s">
        <v>154</v>
      </c>
      <c r="C1670" s="184" t="s">
        <v>7</v>
      </c>
      <c r="D1670" s="570">
        <v>2.7E-2</v>
      </c>
      <c r="E1670" s="177">
        <f>'HARGA BAHAN'!E7</f>
        <v>175000</v>
      </c>
      <c r="F1670" s="424">
        <f>+D1670*E1670</f>
        <v>4725</v>
      </c>
    </row>
    <row r="1671" spans="1:6" ht="14.4" thickBot="1" x14ac:dyDescent="0.3">
      <c r="A1671" s="186"/>
      <c r="B1671" s="187"/>
      <c r="C1671" s="188"/>
      <c r="D1671" s="189" t="s">
        <v>8</v>
      </c>
      <c r="E1671" s="190"/>
      <c r="F1671" s="191">
        <f>SUM(F1667:F1670)</f>
        <v>27495</v>
      </c>
    </row>
    <row r="1672" spans="1:6" x14ac:dyDescent="0.25">
      <c r="A1672" s="192" t="s">
        <v>9</v>
      </c>
      <c r="B1672" s="193" t="s">
        <v>155</v>
      </c>
      <c r="C1672" s="194"/>
      <c r="D1672" s="194"/>
      <c r="E1672" s="194"/>
      <c r="F1672" s="195"/>
    </row>
    <row r="1673" spans="1:6" x14ac:dyDescent="0.25">
      <c r="A1673" s="196"/>
      <c r="B1673" s="197" t="s">
        <v>551</v>
      </c>
      <c r="C1673" s="198" t="s">
        <v>200</v>
      </c>
      <c r="D1673" s="388">
        <v>1.2</v>
      </c>
      <c r="E1673" s="200">
        <f>'HARGA BAHAN'!E57</f>
        <v>150000</v>
      </c>
      <c r="F1673" s="201">
        <f>+D1673*E1673</f>
        <v>180000</v>
      </c>
    </row>
    <row r="1674" spans="1:6" x14ac:dyDescent="0.25">
      <c r="A1674" s="173"/>
      <c r="B1674" s="174" t="s">
        <v>545</v>
      </c>
      <c r="C1674" s="175" t="s">
        <v>213</v>
      </c>
      <c r="D1674" s="176">
        <v>0.1</v>
      </c>
      <c r="E1674" s="177">
        <f>'HARGA BAHAN'!E26</f>
        <v>44700</v>
      </c>
      <c r="F1674" s="178">
        <f>+D1674*E1674</f>
        <v>4470</v>
      </c>
    </row>
    <row r="1675" spans="1:6" ht="14.4" thickBot="1" x14ac:dyDescent="0.3">
      <c r="A1675" s="378"/>
      <c r="B1675" s="379" t="s">
        <v>537</v>
      </c>
      <c r="C1675" s="380" t="s">
        <v>202</v>
      </c>
      <c r="D1675" s="663">
        <v>35</v>
      </c>
      <c r="E1675" s="382">
        <f>SUM(F1673:F1674)</f>
        <v>184470</v>
      </c>
      <c r="F1675" s="383">
        <f>(D1675*E1675)/100</f>
        <v>64564.5</v>
      </c>
    </row>
    <row r="1676" spans="1:6" ht="14.4" thickBot="1" x14ac:dyDescent="0.3">
      <c r="A1676" s="186"/>
      <c r="B1676" s="205"/>
      <c r="C1676" s="205"/>
      <c r="D1676" s="206" t="s">
        <v>10</v>
      </c>
      <c r="E1676" s="205"/>
      <c r="F1676" s="191">
        <f>SUM(F1673:F1673)</f>
        <v>180000</v>
      </c>
    </row>
    <row r="1677" spans="1:6" ht="14.4" thickBot="1" x14ac:dyDescent="0.3">
      <c r="A1677" s="192" t="s">
        <v>11</v>
      </c>
      <c r="B1677" s="193" t="s">
        <v>160</v>
      </c>
      <c r="C1677" s="194"/>
      <c r="D1677" s="194"/>
      <c r="E1677" s="194"/>
      <c r="F1677" s="195"/>
    </row>
    <row r="1678" spans="1:6" ht="14.4" thickBot="1" x14ac:dyDescent="0.3">
      <c r="A1678" s="186"/>
      <c r="B1678" s="187"/>
      <c r="C1678" s="188"/>
      <c r="D1678" s="189" t="s">
        <v>12</v>
      </c>
      <c r="E1678" s="190"/>
      <c r="F1678" s="191">
        <v>0</v>
      </c>
    </row>
    <row r="1679" spans="1:6" x14ac:dyDescent="0.25">
      <c r="A1679" s="192" t="s">
        <v>13</v>
      </c>
      <c r="B1679" s="193" t="s">
        <v>14</v>
      </c>
      <c r="C1679" s="213"/>
      <c r="D1679" s="213"/>
      <c r="E1679" s="214"/>
      <c r="F1679" s="215">
        <f>+F1671+F1676+F1678</f>
        <v>207495</v>
      </c>
    </row>
    <row r="1680" spans="1:6" x14ac:dyDescent="0.25">
      <c r="A1680" s="169" t="s">
        <v>15</v>
      </c>
      <c r="B1680" s="170" t="s">
        <v>51</v>
      </c>
      <c r="C1680" s="216"/>
      <c r="D1680" s="216"/>
      <c r="E1680" s="217"/>
      <c r="F1680" s="218">
        <f>F1679*0.15</f>
        <v>31124.25</v>
      </c>
    </row>
    <row r="1681" spans="1:6" ht="14.4" thickBot="1" x14ac:dyDescent="0.3">
      <c r="A1681" s="219" t="s">
        <v>16</v>
      </c>
      <c r="B1681" s="220" t="s">
        <v>17</v>
      </c>
      <c r="C1681" s="221"/>
      <c r="D1681" s="221"/>
      <c r="E1681" s="222"/>
      <c r="F1681" s="223">
        <f>SUM(F1679:F1680)</f>
        <v>238619.25</v>
      </c>
    </row>
    <row r="1683" spans="1:6" ht="14.4" thickBot="1" x14ac:dyDescent="0.3">
      <c r="A1683" s="160" t="s">
        <v>490</v>
      </c>
      <c r="B1683" s="161" t="s">
        <v>491</v>
      </c>
      <c r="C1683" s="162"/>
      <c r="D1683" s="162"/>
      <c r="E1683" s="162"/>
      <c r="F1683" s="162"/>
    </row>
    <row r="1684" spans="1:6" ht="28.2" thickBot="1" x14ac:dyDescent="0.3">
      <c r="A1684" s="163" t="s">
        <v>2</v>
      </c>
      <c r="B1684" s="164" t="s">
        <v>3</v>
      </c>
      <c r="C1684" s="164" t="s">
        <v>0</v>
      </c>
      <c r="D1684" s="164" t="s">
        <v>4</v>
      </c>
      <c r="E1684" s="164" t="s">
        <v>5</v>
      </c>
      <c r="F1684" s="165" t="s">
        <v>6</v>
      </c>
    </row>
    <row r="1685" spans="1:6" x14ac:dyDescent="0.25">
      <c r="A1685" s="166">
        <v>1</v>
      </c>
      <c r="B1685" s="167">
        <v>2</v>
      </c>
      <c r="C1685" s="167">
        <v>3</v>
      </c>
      <c r="D1685" s="167">
        <v>4</v>
      </c>
      <c r="E1685" s="167">
        <v>5</v>
      </c>
      <c r="F1685" s="168">
        <v>6</v>
      </c>
    </row>
    <row r="1686" spans="1:6" x14ac:dyDescent="0.25">
      <c r="A1686" s="169" t="s">
        <v>1</v>
      </c>
      <c r="B1686" s="170" t="s">
        <v>150</v>
      </c>
      <c r="C1686" s="171"/>
      <c r="D1686" s="171"/>
      <c r="E1686" s="171"/>
      <c r="F1686" s="172"/>
    </row>
    <row r="1687" spans="1:6" x14ac:dyDescent="0.25">
      <c r="A1687" s="173"/>
      <c r="B1687" s="174" t="s">
        <v>151</v>
      </c>
      <c r="C1687" s="175" t="s">
        <v>7</v>
      </c>
      <c r="D1687" s="568">
        <v>1.2</v>
      </c>
      <c r="E1687" s="177">
        <f>'HARGA BAHAN'!E4</f>
        <v>125000</v>
      </c>
      <c r="F1687" s="178">
        <f>+D1687*E1687</f>
        <v>150000</v>
      </c>
    </row>
    <row r="1688" spans="1:6" x14ac:dyDescent="0.25">
      <c r="A1688" s="173"/>
      <c r="B1688" s="179" t="s">
        <v>199</v>
      </c>
      <c r="C1688" s="180" t="s">
        <v>7</v>
      </c>
      <c r="D1688" s="569">
        <v>1.45</v>
      </c>
      <c r="E1688" s="177">
        <f>'HARGA BAHAN'!E5</f>
        <v>160000</v>
      </c>
      <c r="F1688" s="423">
        <f>+D1688*E1688</f>
        <v>232000</v>
      </c>
    </row>
    <row r="1689" spans="1:6" x14ac:dyDescent="0.25">
      <c r="A1689" s="173"/>
      <c r="B1689" s="174" t="s">
        <v>153</v>
      </c>
      <c r="C1689" s="175" t="s">
        <v>7</v>
      </c>
      <c r="D1689" s="569">
        <v>0.15</v>
      </c>
      <c r="E1689" s="177">
        <f>'HARGA BAHAN'!E6</f>
        <v>180000</v>
      </c>
      <c r="F1689" s="178">
        <f>+D1689*E1689</f>
        <v>27000</v>
      </c>
    </row>
    <row r="1690" spans="1:6" ht="14.4" thickBot="1" x14ac:dyDescent="0.3">
      <c r="A1690" s="182"/>
      <c r="B1690" s="183" t="s">
        <v>154</v>
      </c>
      <c r="C1690" s="184" t="s">
        <v>7</v>
      </c>
      <c r="D1690" s="570">
        <v>0.06</v>
      </c>
      <c r="E1690" s="177">
        <f>'HARGA BAHAN'!E7</f>
        <v>175000</v>
      </c>
      <c r="F1690" s="424">
        <f>+D1690*E1690</f>
        <v>10500</v>
      </c>
    </row>
    <row r="1691" spans="1:6" ht="14.4" thickBot="1" x14ac:dyDescent="0.3">
      <c r="A1691" s="186"/>
      <c r="B1691" s="187"/>
      <c r="C1691" s="188"/>
      <c r="D1691" s="189" t="s">
        <v>8</v>
      </c>
      <c r="E1691" s="190"/>
      <c r="F1691" s="191">
        <f>SUM(F1687:F1690)</f>
        <v>419500</v>
      </c>
    </row>
    <row r="1692" spans="1:6" x14ac:dyDescent="0.25">
      <c r="A1692" s="192" t="s">
        <v>9</v>
      </c>
      <c r="B1692" s="193" t="s">
        <v>155</v>
      </c>
      <c r="C1692" s="194"/>
      <c r="D1692" s="194"/>
      <c r="E1692" s="194"/>
      <c r="F1692" s="195"/>
    </row>
    <row r="1693" spans="1:6" x14ac:dyDescent="0.25">
      <c r="A1693" s="196"/>
      <c r="B1693" s="197" t="s">
        <v>492</v>
      </c>
      <c r="C1693" s="198" t="s">
        <v>236</v>
      </c>
      <c r="D1693" s="388">
        <v>1</v>
      </c>
      <c r="E1693" s="200">
        <f>'HARGA BAHAN'!E116</f>
        <v>1000000</v>
      </c>
      <c r="F1693" s="201">
        <f>+D1693*E1693</f>
        <v>1000000</v>
      </c>
    </row>
    <row r="1694" spans="1:6" x14ac:dyDescent="0.25">
      <c r="A1694" s="202"/>
      <c r="B1694" s="179" t="s">
        <v>493</v>
      </c>
      <c r="C1694" s="180" t="s">
        <v>213</v>
      </c>
      <c r="D1694" s="181">
        <v>6</v>
      </c>
      <c r="E1694" s="204">
        <f>'HARGA BAHAN'!E13</f>
        <v>2000</v>
      </c>
      <c r="F1694" s="178">
        <f t="shared" ref="F1694:F1695" si="49">+D1694*E1694</f>
        <v>12000</v>
      </c>
    </row>
    <row r="1695" spans="1:6" x14ac:dyDescent="0.25">
      <c r="A1695" s="202"/>
      <c r="B1695" s="179" t="s">
        <v>494</v>
      </c>
      <c r="C1695" s="180" t="s">
        <v>214</v>
      </c>
      <c r="D1695" s="181">
        <v>0.01</v>
      </c>
      <c r="E1695" s="204">
        <f>'HARGA BAHAN'!E15</f>
        <v>210000</v>
      </c>
      <c r="F1695" s="178">
        <f t="shared" si="49"/>
        <v>2100</v>
      </c>
    </row>
    <row r="1696" spans="1:6" ht="14.4" thickBot="1" x14ac:dyDescent="0.3">
      <c r="A1696" s="173"/>
      <c r="B1696" s="174" t="s">
        <v>201</v>
      </c>
      <c r="C1696" s="175" t="s">
        <v>202</v>
      </c>
      <c r="D1696" s="176">
        <v>12</v>
      </c>
      <c r="E1696" s="177">
        <f>SUM(F1693:F1695)</f>
        <v>1014100</v>
      </c>
      <c r="F1696" s="178">
        <f>(+D1696*E1696)/100</f>
        <v>121692</v>
      </c>
    </row>
    <row r="1697" spans="1:6" ht="14.4" thickBot="1" x14ac:dyDescent="0.3">
      <c r="A1697" s="186"/>
      <c r="B1697" s="205"/>
      <c r="C1697" s="205"/>
      <c r="D1697" s="206" t="s">
        <v>10</v>
      </c>
      <c r="E1697" s="205"/>
      <c r="F1697" s="191">
        <f>SUM(F1693:F1696)</f>
        <v>1135792</v>
      </c>
    </row>
    <row r="1698" spans="1:6" ht="14.4" thickBot="1" x14ac:dyDescent="0.3">
      <c r="A1698" s="192" t="s">
        <v>11</v>
      </c>
      <c r="B1698" s="193" t="s">
        <v>160</v>
      </c>
      <c r="C1698" s="194"/>
      <c r="D1698" s="194"/>
      <c r="E1698" s="194"/>
      <c r="F1698" s="195"/>
    </row>
    <row r="1699" spans="1:6" ht="14.4" thickBot="1" x14ac:dyDescent="0.3">
      <c r="A1699" s="186"/>
      <c r="B1699" s="187"/>
      <c r="C1699" s="188"/>
      <c r="D1699" s="189" t="s">
        <v>12</v>
      </c>
      <c r="E1699" s="190"/>
      <c r="F1699" s="191">
        <v>0</v>
      </c>
    </row>
    <row r="1700" spans="1:6" x14ac:dyDescent="0.25">
      <c r="A1700" s="192" t="s">
        <v>13</v>
      </c>
      <c r="B1700" s="193" t="s">
        <v>14</v>
      </c>
      <c r="C1700" s="213"/>
      <c r="D1700" s="213"/>
      <c r="E1700" s="214"/>
      <c r="F1700" s="215">
        <f>+F1691+F1697+F1699</f>
        <v>1555292</v>
      </c>
    </row>
    <row r="1701" spans="1:6" x14ac:dyDescent="0.25">
      <c r="A1701" s="169" t="s">
        <v>15</v>
      </c>
      <c r="B1701" s="170" t="s">
        <v>51</v>
      </c>
      <c r="C1701" s="216"/>
      <c r="D1701" s="216"/>
      <c r="E1701" s="217"/>
      <c r="F1701" s="218">
        <f>F1700*0.15</f>
        <v>233293.8</v>
      </c>
    </row>
    <row r="1702" spans="1:6" ht="14.4" thickBot="1" x14ac:dyDescent="0.3">
      <c r="A1702" s="219" t="s">
        <v>16</v>
      </c>
      <c r="B1702" s="220" t="s">
        <v>17</v>
      </c>
      <c r="C1702" s="221"/>
      <c r="D1702" s="221"/>
      <c r="E1702" s="222"/>
      <c r="F1702" s="223">
        <f>SUM(F1700:F1701)</f>
        <v>1788585.8</v>
      </c>
    </row>
    <row r="1704" spans="1:6" ht="14.4" thickBot="1" x14ac:dyDescent="0.3">
      <c r="A1704" s="71" t="s">
        <v>476</v>
      </c>
      <c r="B1704" s="2" t="s">
        <v>477</v>
      </c>
      <c r="C1704" s="3"/>
      <c r="D1704" s="3"/>
      <c r="E1704" s="3"/>
      <c r="F1704" s="3"/>
    </row>
    <row r="1705" spans="1:6" ht="28.2" thickBot="1" x14ac:dyDescent="0.3">
      <c r="A1705" s="4" t="s">
        <v>2</v>
      </c>
      <c r="B1705" s="5" t="s">
        <v>3</v>
      </c>
      <c r="C1705" s="5" t="s">
        <v>0</v>
      </c>
      <c r="D1705" s="5" t="s">
        <v>4</v>
      </c>
      <c r="E1705" s="5" t="s">
        <v>5</v>
      </c>
      <c r="F1705" s="6" t="s">
        <v>6</v>
      </c>
    </row>
    <row r="1706" spans="1:6" x14ac:dyDescent="0.25">
      <c r="A1706" s="7">
        <v>1</v>
      </c>
      <c r="B1706" s="8">
        <v>2</v>
      </c>
      <c r="C1706" s="8">
        <v>3</v>
      </c>
      <c r="D1706" s="8">
        <v>4</v>
      </c>
      <c r="E1706" s="8">
        <v>5</v>
      </c>
      <c r="F1706" s="9">
        <v>6</v>
      </c>
    </row>
    <row r="1707" spans="1:6" x14ac:dyDescent="0.25">
      <c r="A1707" s="10" t="s">
        <v>485</v>
      </c>
      <c r="B1707" s="11" t="s">
        <v>478</v>
      </c>
      <c r="C1707" s="12"/>
      <c r="D1707" s="12"/>
      <c r="E1707" s="12"/>
      <c r="F1707" s="13"/>
    </row>
    <row r="1708" spans="1:6" x14ac:dyDescent="0.25">
      <c r="A1708" s="14" t="str">
        <f>A38</f>
        <v>A.2.3.1.1</v>
      </c>
      <c r="B1708" s="15" t="s">
        <v>479</v>
      </c>
      <c r="C1708" s="16" t="s">
        <v>240</v>
      </c>
      <c r="D1708" s="69">
        <v>6</v>
      </c>
      <c r="E1708" s="18">
        <f>F53</f>
        <v>112412.5</v>
      </c>
      <c r="F1708" s="19">
        <f t="shared" ref="F1708:F1714" si="50">+D1708*E1708</f>
        <v>674475</v>
      </c>
    </row>
    <row r="1709" spans="1:6" x14ac:dyDescent="0.25">
      <c r="A1709" s="14" t="str">
        <f>A404</f>
        <v>A.4.4.1.7</v>
      </c>
      <c r="B1709" s="20" t="s">
        <v>480</v>
      </c>
      <c r="C1709" s="21" t="s">
        <v>189</v>
      </c>
      <c r="D1709" s="158">
        <v>13.299999999999999</v>
      </c>
      <c r="E1709" s="18">
        <f>F423</f>
        <v>199875.75</v>
      </c>
      <c r="F1709" s="159">
        <f t="shared" si="50"/>
        <v>2658347.4749999996</v>
      </c>
    </row>
    <row r="1710" spans="1:6" x14ac:dyDescent="0.25">
      <c r="A1710" s="14" t="str">
        <f>A670</f>
        <v>A.4.4.2.4</v>
      </c>
      <c r="B1710" s="20" t="s">
        <v>481</v>
      </c>
      <c r="C1710" s="21" t="s">
        <v>189</v>
      </c>
      <c r="D1710" s="158">
        <v>12.16</v>
      </c>
      <c r="E1710" s="18">
        <f>F688</f>
        <v>110716.25</v>
      </c>
      <c r="F1710" s="159">
        <f t="shared" si="50"/>
        <v>1346309.6</v>
      </c>
    </row>
    <row r="1711" spans="1:6" x14ac:dyDescent="0.25">
      <c r="A1711" s="14" t="str">
        <f>A535</f>
        <v>A.4.4.1.24</v>
      </c>
      <c r="B1711" s="15" t="s">
        <v>482</v>
      </c>
      <c r="C1711" s="16" t="s">
        <v>189</v>
      </c>
      <c r="D1711" s="69">
        <v>3</v>
      </c>
      <c r="E1711" s="18">
        <f>F557</f>
        <v>1243735.3500000001</v>
      </c>
      <c r="F1711" s="19">
        <f t="shared" si="50"/>
        <v>3731206.0500000003</v>
      </c>
    </row>
    <row r="1712" spans="1:6" x14ac:dyDescent="0.25">
      <c r="A1712" s="14" t="str">
        <f>A238</f>
        <v>A.4.1.1.17</v>
      </c>
      <c r="B1712" s="20" t="s">
        <v>483</v>
      </c>
      <c r="C1712" s="21" t="s">
        <v>21</v>
      </c>
      <c r="D1712" s="158">
        <v>24.66</v>
      </c>
      <c r="E1712" s="18">
        <f>F257</f>
        <v>24772.15</v>
      </c>
      <c r="F1712" s="159">
        <f t="shared" si="50"/>
        <v>610881.21900000004</v>
      </c>
    </row>
    <row r="1713" spans="1:6" x14ac:dyDescent="0.25">
      <c r="A1713" s="14" t="str">
        <f>A281</f>
        <v>A.4.1.1.7a</v>
      </c>
      <c r="B1713" s="15" t="s">
        <v>484</v>
      </c>
      <c r="C1713" s="16" t="s">
        <v>240</v>
      </c>
      <c r="D1713" s="158">
        <v>0.30000000000000004</v>
      </c>
      <c r="E1713" s="18">
        <f>F301</f>
        <v>1638755.75</v>
      </c>
      <c r="F1713" s="19">
        <f t="shared" si="50"/>
        <v>491626.72500000009</v>
      </c>
    </row>
    <row r="1714" spans="1:6" ht="14.4" thickBot="1" x14ac:dyDescent="0.3">
      <c r="A1714" s="14" t="s">
        <v>35</v>
      </c>
      <c r="B1714" s="571" t="s">
        <v>486</v>
      </c>
      <c r="C1714" s="21" t="s">
        <v>35</v>
      </c>
      <c r="D1714" s="158">
        <v>1</v>
      </c>
      <c r="E1714" s="18">
        <v>38000</v>
      </c>
      <c r="F1714" s="159">
        <f t="shared" si="50"/>
        <v>38000</v>
      </c>
    </row>
    <row r="1715" spans="1:6" ht="14.4" thickBot="1" x14ac:dyDescent="0.3">
      <c r="A1715" s="28"/>
      <c r="B1715" s="29"/>
      <c r="C1715" s="30"/>
      <c r="D1715" s="31" t="s">
        <v>489</v>
      </c>
      <c r="E1715" s="32"/>
      <c r="F1715" s="33">
        <f>SUM(F1708:F1714)</f>
        <v>9550846.0690000001</v>
      </c>
    </row>
    <row r="1716" spans="1:6" x14ac:dyDescent="0.25">
      <c r="A1716" s="34" t="s">
        <v>9</v>
      </c>
      <c r="B1716" s="35" t="s">
        <v>488</v>
      </c>
      <c r="C1716" s="52"/>
      <c r="D1716" s="52"/>
      <c r="E1716" s="53"/>
      <c r="F1716" s="54">
        <f>F1715</f>
        <v>9550846.0690000001</v>
      </c>
    </row>
    <row r="1717" spans="1:6" x14ac:dyDescent="0.25">
      <c r="A1717" s="10" t="s">
        <v>11</v>
      </c>
      <c r="B1717" s="11" t="s">
        <v>487</v>
      </c>
      <c r="C1717" s="55"/>
      <c r="D1717" s="55"/>
      <c r="E1717" s="56"/>
      <c r="F1717" s="57">
        <v>0</v>
      </c>
    </row>
    <row r="1718" spans="1:6" ht="14.4" thickBot="1" x14ac:dyDescent="0.3">
      <c r="A1718" s="58" t="s">
        <v>13</v>
      </c>
      <c r="B1718" s="59" t="s">
        <v>17</v>
      </c>
      <c r="C1718" s="60"/>
      <c r="D1718" s="60"/>
      <c r="E1718" s="61"/>
      <c r="F1718" s="62">
        <f>SUM(F1716:F1717)</f>
        <v>9550846.0690000001</v>
      </c>
    </row>
    <row r="1720" spans="1:6" ht="14.4" thickBot="1" x14ac:dyDescent="0.3">
      <c r="A1720" s="71" t="s">
        <v>216</v>
      </c>
      <c r="B1720" s="2" t="s">
        <v>351</v>
      </c>
      <c r="C1720" s="3"/>
      <c r="D1720" s="3"/>
      <c r="E1720" s="3"/>
      <c r="F1720" s="3"/>
    </row>
    <row r="1721" spans="1:6" ht="28.2" thickBot="1" x14ac:dyDescent="0.3">
      <c r="A1721" s="4" t="s">
        <v>2</v>
      </c>
      <c r="B1721" s="5" t="s">
        <v>3</v>
      </c>
      <c r="C1721" s="5" t="s">
        <v>0</v>
      </c>
      <c r="D1721" s="5" t="s">
        <v>4</v>
      </c>
      <c r="E1721" s="5" t="s">
        <v>5</v>
      </c>
      <c r="F1721" s="6" t="s">
        <v>6</v>
      </c>
    </row>
    <row r="1722" spans="1:6" x14ac:dyDescent="0.25">
      <c r="A1722" s="7">
        <v>1</v>
      </c>
      <c r="B1722" s="8">
        <v>2</v>
      </c>
      <c r="C1722" s="8">
        <v>3</v>
      </c>
      <c r="D1722" s="8">
        <v>4</v>
      </c>
      <c r="E1722" s="8">
        <v>5</v>
      </c>
      <c r="F1722" s="9">
        <v>6</v>
      </c>
    </row>
    <row r="1723" spans="1:6" x14ac:dyDescent="0.25">
      <c r="A1723" s="10" t="s">
        <v>1</v>
      </c>
      <c r="B1723" s="11" t="s">
        <v>76</v>
      </c>
      <c r="C1723" s="12"/>
      <c r="D1723" s="12"/>
      <c r="E1723" s="12"/>
      <c r="F1723" s="13"/>
    </row>
    <row r="1724" spans="1:6" ht="14.4" thickBot="1" x14ac:dyDescent="0.3">
      <c r="A1724" s="14"/>
      <c r="B1724" s="15" t="s">
        <v>224</v>
      </c>
      <c r="C1724" s="16" t="s">
        <v>202</v>
      </c>
      <c r="D1724" s="17">
        <v>100</v>
      </c>
      <c r="E1724" s="18">
        <f>'HARGA BAHAN'!E4</f>
        <v>125000</v>
      </c>
      <c r="F1724" s="19">
        <f>D1724*E1724/100</f>
        <v>125000</v>
      </c>
    </row>
    <row r="1725" spans="1:6" ht="14.4" thickBot="1" x14ac:dyDescent="0.3">
      <c r="A1725" s="28"/>
      <c r="B1725" s="29"/>
      <c r="C1725" s="30"/>
      <c r="D1725" s="31" t="s">
        <v>8</v>
      </c>
      <c r="E1725" s="32"/>
      <c r="F1725" s="33">
        <f>SUM(F1724:F1724)</f>
        <v>125000</v>
      </c>
    </row>
    <row r="1726" spans="1:6" x14ac:dyDescent="0.25">
      <c r="A1726" s="34" t="s">
        <v>9</v>
      </c>
      <c r="B1726" s="35" t="s">
        <v>77</v>
      </c>
      <c r="C1726" s="36"/>
      <c r="D1726" s="36"/>
      <c r="E1726" s="36"/>
      <c r="F1726" s="37"/>
    </row>
    <row r="1727" spans="1:6" x14ac:dyDescent="0.25">
      <c r="A1727" s="38"/>
      <c r="B1727" s="39" t="s">
        <v>352</v>
      </c>
      <c r="C1727" s="40" t="s">
        <v>25</v>
      </c>
      <c r="D1727" s="41">
        <v>3</v>
      </c>
      <c r="E1727" s="42">
        <f>'HARGA BAHAN'!E125</f>
        <v>23000</v>
      </c>
      <c r="F1727" s="43">
        <f>+D1727*E1727</f>
        <v>69000</v>
      </c>
    </row>
    <row r="1728" spans="1:6" x14ac:dyDescent="0.25">
      <c r="A1728" s="14"/>
      <c r="B1728" s="15" t="s">
        <v>217</v>
      </c>
      <c r="C1728" s="16" t="s">
        <v>67</v>
      </c>
      <c r="D1728" s="17">
        <v>6</v>
      </c>
      <c r="E1728" s="18">
        <f>'HARGA BAHAN'!E126</f>
        <v>12500</v>
      </c>
      <c r="F1728" s="19">
        <f>+D1728*E1728</f>
        <v>75000</v>
      </c>
    </row>
    <row r="1729" spans="1:6" x14ac:dyDescent="0.25">
      <c r="A1729" s="14"/>
      <c r="B1729" s="15" t="s">
        <v>218</v>
      </c>
      <c r="C1729" s="16" t="s">
        <v>20</v>
      </c>
      <c r="D1729" s="17">
        <v>3</v>
      </c>
      <c r="E1729" s="18">
        <f>'HARGA BAHAN'!E127</f>
        <v>14000</v>
      </c>
      <c r="F1729" s="19">
        <f t="shared" ref="F1729:F1733" si="51">+D1729*E1729</f>
        <v>42000</v>
      </c>
    </row>
    <row r="1730" spans="1:6" x14ac:dyDescent="0.25">
      <c r="A1730" s="14"/>
      <c r="B1730" s="15" t="s">
        <v>219</v>
      </c>
      <c r="C1730" s="16" t="s">
        <v>20</v>
      </c>
      <c r="D1730" s="17">
        <v>4</v>
      </c>
      <c r="E1730" s="18">
        <f>'HARGA BAHAN'!E128</f>
        <v>2800</v>
      </c>
      <c r="F1730" s="19">
        <f t="shared" si="51"/>
        <v>11200</v>
      </c>
    </row>
    <row r="1731" spans="1:6" x14ac:dyDescent="0.25">
      <c r="A1731" s="14"/>
      <c r="B1731" s="15" t="s">
        <v>220</v>
      </c>
      <c r="C1731" s="16" t="s">
        <v>20</v>
      </c>
      <c r="D1731" s="17">
        <v>1</v>
      </c>
      <c r="E1731" s="18">
        <f>'HARGA BAHAN'!E129</f>
        <v>4500</v>
      </c>
      <c r="F1731" s="19">
        <f t="shared" si="51"/>
        <v>4500</v>
      </c>
    </row>
    <row r="1732" spans="1:6" x14ac:dyDescent="0.25">
      <c r="A1732" s="14"/>
      <c r="B1732" s="15" t="s">
        <v>221</v>
      </c>
      <c r="C1732" s="16" t="s">
        <v>20</v>
      </c>
      <c r="D1732" s="17">
        <v>24</v>
      </c>
      <c r="E1732" s="18">
        <f>'HARGA BAHAN'!E130</f>
        <v>3790</v>
      </c>
      <c r="F1732" s="19">
        <f t="shared" si="51"/>
        <v>90960</v>
      </c>
    </row>
    <row r="1733" spans="1:6" x14ac:dyDescent="0.25">
      <c r="A1733" s="14"/>
      <c r="B1733" s="15" t="s">
        <v>222</v>
      </c>
      <c r="C1733" s="16" t="s">
        <v>20</v>
      </c>
      <c r="D1733" s="17">
        <v>1</v>
      </c>
      <c r="E1733" s="18">
        <f>'HARGA BAHAN'!E131</f>
        <v>21000</v>
      </c>
      <c r="F1733" s="19">
        <f t="shared" si="51"/>
        <v>21000</v>
      </c>
    </row>
    <row r="1734" spans="1:6" ht="14.4" thickBot="1" x14ac:dyDescent="0.3">
      <c r="A1734" s="79"/>
      <c r="B1734" s="80" t="s">
        <v>223</v>
      </c>
      <c r="C1734" s="16" t="s">
        <v>20</v>
      </c>
      <c r="D1734" s="82">
        <v>1</v>
      </c>
      <c r="E1734" s="18">
        <f>'HARGA BAHAN'!E132</f>
        <v>53000</v>
      </c>
      <c r="F1734" s="74">
        <f>+D1734*E1734</f>
        <v>53000</v>
      </c>
    </row>
    <row r="1735" spans="1:6" ht="14.4" thickBot="1" x14ac:dyDescent="0.3">
      <c r="A1735" s="28"/>
      <c r="B1735" s="44"/>
      <c r="C1735" s="44"/>
      <c r="D1735" s="45" t="s">
        <v>10</v>
      </c>
      <c r="E1735" s="44"/>
      <c r="F1735" s="33">
        <f>SUM(F1727:F1734)</f>
        <v>366660</v>
      </c>
    </row>
    <row r="1736" spans="1:6" x14ac:dyDescent="0.25">
      <c r="A1736" s="34" t="s">
        <v>11</v>
      </c>
      <c r="B1736" s="35" t="s">
        <v>78</v>
      </c>
      <c r="C1736" s="36"/>
      <c r="D1736" s="36"/>
      <c r="E1736" s="36"/>
      <c r="F1736" s="37"/>
    </row>
    <row r="1737" spans="1:6" ht="14.4" thickBot="1" x14ac:dyDescent="0.3">
      <c r="A1737" s="46"/>
      <c r="B1737" s="47"/>
      <c r="C1737" s="48"/>
      <c r="D1737" s="49"/>
      <c r="E1737" s="50"/>
      <c r="F1737" s="51"/>
    </row>
    <row r="1738" spans="1:6" ht="14.4" thickBot="1" x14ac:dyDescent="0.3">
      <c r="A1738" s="28"/>
      <c r="B1738" s="29"/>
      <c r="C1738" s="30"/>
      <c r="D1738" s="31" t="s">
        <v>12</v>
      </c>
      <c r="E1738" s="32"/>
      <c r="F1738" s="33">
        <f>SUM(F1737)</f>
        <v>0</v>
      </c>
    </row>
    <row r="1739" spans="1:6" x14ac:dyDescent="0.25">
      <c r="A1739" s="34" t="s">
        <v>13</v>
      </c>
      <c r="B1739" s="35" t="s">
        <v>14</v>
      </c>
      <c r="C1739" s="52"/>
      <c r="D1739" s="52"/>
      <c r="E1739" s="53"/>
      <c r="F1739" s="54">
        <f>+F1725+F1735+F1738</f>
        <v>491660</v>
      </c>
    </row>
    <row r="1740" spans="1:6" x14ac:dyDescent="0.25">
      <c r="A1740" s="10" t="s">
        <v>15</v>
      </c>
      <c r="B1740" s="11" t="s">
        <v>51</v>
      </c>
      <c r="C1740" s="55"/>
      <c r="D1740" s="55"/>
      <c r="E1740" s="56"/>
      <c r="F1740" s="57">
        <f>F1739*15%</f>
        <v>73749</v>
      </c>
    </row>
    <row r="1741" spans="1:6" ht="14.4" thickBot="1" x14ac:dyDescent="0.3">
      <c r="A1741" s="58" t="s">
        <v>16</v>
      </c>
      <c r="B1741" s="59" t="s">
        <v>17</v>
      </c>
      <c r="C1741" s="60"/>
      <c r="D1741" s="60"/>
      <c r="E1741" s="61"/>
      <c r="F1741" s="62">
        <f>SUM(F1739:F1740)</f>
        <v>565409</v>
      </c>
    </row>
  </sheetData>
  <mergeCells count="2">
    <mergeCell ref="A1:F1"/>
    <mergeCell ref="A2:F2"/>
  </mergeCells>
  <pageMargins left="1.1811023622047245" right="0.70866141732283472" top="0.55118110236220474" bottom="0.74803149606299213" header="0.31496062992125984" footer="0.31496062992125984"/>
  <pageSetup paperSize="9" scale="95" orientation="portrait" horizontalDpi="4294967293" r:id="rId1"/>
  <rowBreaks count="12" manualBreakCount="12">
    <brk id="195" max="16383" man="1"/>
    <brk id="237" max="16383" man="1"/>
    <brk id="280" max="16383" man="1"/>
    <brk id="403" max="16383" man="1"/>
    <brk id="462" max="16383" man="1"/>
    <brk id="508" max="5" man="1"/>
    <brk id="604" max="16383" man="1"/>
    <brk id="846" max="16383" man="1"/>
    <brk id="908" max="16383" man="1"/>
    <brk id="986" max="16383" man="1"/>
    <brk id="1260" max="5" man="1"/>
    <brk id="138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15C04-5AEB-4F0D-97D7-65293D475F51}">
  <dimension ref="A1:J983"/>
  <sheetViews>
    <sheetView view="pageBreakPreview" topLeftCell="A892" zoomScaleNormal="100" zoomScaleSheetLayoutView="100" workbookViewId="0">
      <selection activeCell="K928" sqref="K928"/>
    </sheetView>
  </sheetViews>
  <sheetFormatPr defaultColWidth="9.109375" defaultRowHeight="13.8" x14ac:dyDescent="0.25"/>
  <cols>
    <col min="1" max="1" width="9.109375" style="1"/>
    <col min="2" max="2" width="22.88671875" style="1" customWidth="1"/>
    <col min="3" max="3" width="7.5546875" style="1" customWidth="1"/>
    <col min="4" max="4" width="9" style="1" customWidth="1"/>
    <col min="5" max="5" width="12.6640625" style="1" customWidth="1"/>
    <col min="6" max="6" width="14.6640625" style="1" customWidth="1"/>
    <col min="7" max="16384" width="9.109375" style="1"/>
  </cols>
  <sheetData>
    <row r="1" spans="1:6" ht="17.399999999999999" x14ac:dyDescent="0.3">
      <c r="A1" s="890" t="s">
        <v>143</v>
      </c>
      <c r="B1" s="890"/>
      <c r="C1" s="890"/>
      <c r="D1" s="890"/>
      <c r="E1" s="890"/>
      <c r="F1" s="890"/>
    </row>
    <row r="2" spans="1:6" ht="17.399999999999999" x14ac:dyDescent="0.3">
      <c r="A2" s="890" t="s">
        <v>144</v>
      </c>
      <c r="B2" s="890"/>
      <c r="C2" s="890"/>
      <c r="D2" s="890"/>
      <c r="E2" s="890"/>
      <c r="F2" s="890"/>
    </row>
    <row r="4" spans="1:6" ht="14.4" thickBot="1" x14ac:dyDescent="0.3">
      <c r="A4" s="71" t="s">
        <v>586</v>
      </c>
      <c r="B4" s="2" t="s">
        <v>587</v>
      </c>
      <c r="C4" s="3"/>
      <c r="D4" s="3"/>
      <c r="E4" s="3"/>
      <c r="F4" s="3"/>
    </row>
    <row r="5" spans="1:6" ht="28.2" thickBot="1" x14ac:dyDescent="0.3">
      <c r="A5" s="4" t="s">
        <v>2</v>
      </c>
      <c r="B5" s="5" t="s">
        <v>3</v>
      </c>
      <c r="C5" s="5" t="s">
        <v>0</v>
      </c>
      <c r="D5" s="5" t="s">
        <v>4</v>
      </c>
      <c r="E5" s="5" t="s">
        <v>5</v>
      </c>
      <c r="F5" s="6" t="s">
        <v>6</v>
      </c>
    </row>
    <row r="6" spans="1:6" x14ac:dyDescent="0.25">
      <c r="A6" s="7">
        <v>1</v>
      </c>
      <c r="B6" s="8">
        <v>2</v>
      </c>
      <c r="C6" s="8">
        <v>3</v>
      </c>
      <c r="D6" s="8">
        <v>4</v>
      </c>
      <c r="E6" s="8">
        <v>5</v>
      </c>
      <c r="F6" s="9">
        <v>6</v>
      </c>
    </row>
    <row r="7" spans="1:6" x14ac:dyDescent="0.25">
      <c r="A7" s="10" t="s">
        <v>1</v>
      </c>
      <c r="B7" s="11" t="s">
        <v>76</v>
      </c>
      <c r="C7" s="12"/>
      <c r="D7" s="12"/>
      <c r="E7" s="12"/>
      <c r="F7" s="13"/>
    </row>
    <row r="8" spans="1:6" x14ac:dyDescent="0.25">
      <c r="A8" s="14"/>
      <c r="B8" s="15" t="s">
        <v>40</v>
      </c>
      <c r="C8" s="16" t="s">
        <v>7</v>
      </c>
      <c r="D8" s="17">
        <v>0.1</v>
      </c>
      <c r="E8" s="18">
        <f>'HARGA BAHAN'!E4</f>
        <v>125000</v>
      </c>
      <c r="F8" s="19">
        <f>+D8*E8</f>
        <v>12500</v>
      </c>
    </row>
    <row r="9" spans="1:6" ht="14.4" thickBot="1" x14ac:dyDescent="0.3">
      <c r="A9" s="14"/>
      <c r="B9" s="20" t="s">
        <v>42</v>
      </c>
      <c r="C9" s="21" t="s">
        <v>7</v>
      </c>
      <c r="D9" s="22">
        <v>0.01</v>
      </c>
      <c r="E9" s="23">
        <f>'HARGA BAHAN'!E7</f>
        <v>175000</v>
      </c>
      <c r="F9" s="19">
        <f>+D9*E9</f>
        <v>1750</v>
      </c>
    </row>
    <row r="10" spans="1:6" ht="14.4" thickBot="1" x14ac:dyDescent="0.3">
      <c r="A10" s="28"/>
      <c r="B10" s="29"/>
      <c r="C10" s="30"/>
      <c r="D10" s="31" t="s">
        <v>8</v>
      </c>
      <c r="E10" s="32"/>
      <c r="F10" s="33">
        <f>SUM(F8:F9)</f>
        <v>14250</v>
      </c>
    </row>
    <row r="11" spans="1:6" x14ac:dyDescent="0.25">
      <c r="A11" s="34" t="s">
        <v>9</v>
      </c>
      <c r="B11" s="35" t="s">
        <v>77</v>
      </c>
      <c r="C11" s="36"/>
      <c r="D11" s="36"/>
      <c r="E11" s="36"/>
      <c r="F11" s="37"/>
    </row>
    <row r="12" spans="1:6" ht="14.4" thickBot="1" x14ac:dyDescent="0.3">
      <c r="A12" s="38"/>
      <c r="B12" s="39"/>
      <c r="C12" s="40"/>
      <c r="D12" s="41"/>
      <c r="E12" s="42"/>
      <c r="F12" s="43">
        <f>+D12*E12</f>
        <v>0</v>
      </c>
    </row>
    <row r="13" spans="1:6" ht="14.4" thickBot="1" x14ac:dyDescent="0.3">
      <c r="A13" s="28"/>
      <c r="B13" s="44"/>
      <c r="C13" s="44"/>
      <c r="D13" s="45" t="s">
        <v>10</v>
      </c>
      <c r="E13" s="44"/>
      <c r="F13" s="33">
        <f>SUM(F12:F12)</f>
        <v>0</v>
      </c>
    </row>
    <row r="14" spans="1:6" x14ac:dyDescent="0.25">
      <c r="A14" s="34" t="s">
        <v>11</v>
      </c>
      <c r="B14" s="35" t="s">
        <v>78</v>
      </c>
      <c r="C14" s="36"/>
      <c r="D14" s="36"/>
      <c r="E14" s="36"/>
      <c r="F14" s="37"/>
    </row>
    <row r="15" spans="1:6" ht="14.4" thickBot="1" x14ac:dyDescent="0.3">
      <c r="A15" s="46"/>
      <c r="B15" s="47"/>
      <c r="C15" s="48"/>
      <c r="D15" s="49"/>
      <c r="E15" s="50"/>
      <c r="F15" s="43">
        <f>+D15*E15</f>
        <v>0</v>
      </c>
    </row>
    <row r="16" spans="1:6" ht="14.4" thickBot="1" x14ac:dyDescent="0.3">
      <c r="A16" s="28"/>
      <c r="B16" s="29"/>
      <c r="C16" s="30"/>
      <c r="D16" s="31" t="s">
        <v>12</v>
      </c>
      <c r="E16" s="32"/>
      <c r="F16" s="33">
        <f>SUM(F15)</f>
        <v>0</v>
      </c>
    </row>
    <row r="17" spans="1:6" x14ac:dyDescent="0.25">
      <c r="A17" s="34" t="s">
        <v>13</v>
      </c>
      <c r="B17" s="35" t="s">
        <v>79</v>
      </c>
      <c r="C17" s="52"/>
      <c r="D17" s="52"/>
      <c r="E17" s="53"/>
      <c r="F17" s="54">
        <f>+F10+F13+F16</f>
        <v>14250</v>
      </c>
    </row>
    <row r="18" spans="1:6" x14ac:dyDescent="0.25">
      <c r="A18" s="10" t="s">
        <v>15</v>
      </c>
      <c r="B18" s="11" t="s">
        <v>80</v>
      </c>
      <c r="C18" s="55"/>
      <c r="D18" s="55"/>
      <c r="E18" s="56"/>
      <c r="F18" s="57">
        <f>F17*15%</f>
        <v>2137.5</v>
      </c>
    </row>
    <row r="19" spans="1:6" ht="14.4" thickBot="1" x14ac:dyDescent="0.3">
      <c r="A19" s="58" t="s">
        <v>16</v>
      </c>
      <c r="B19" s="59" t="s">
        <v>81</v>
      </c>
      <c r="C19" s="60"/>
      <c r="D19" s="60"/>
      <c r="E19" s="61"/>
      <c r="F19" s="62">
        <f>SUM(F17:F18)</f>
        <v>16387.5</v>
      </c>
    </row>
    <row r="21" spans="1:6" ht="16.2" thickBot="1" x14ac:dyDescent="0.3">
      <c r="A21" s="71" t="s">
        <v>60</v>
      </c>
      <c r="B21" s="2" t="s">
        <v>72</v>
      </c>
      <c r="C21" s="3"/>
      <c r="D21" s="3"/>
      <c r="E21" s="3"/>
      <c r="F21" s="3"/>
    </row>
    <row r="22" spans="1:6" ht="28.2" thickBot="1" x14ac:dyDescent="0.3">
      <c r="A22" s="4" t="s">
        <v>2</v>
      </c>
      <c r="B22" s="5" t="s">
        <v>3</v>
      </c>
      <c r="C22" s="5" t="s">
        <v>0</v>
      </c>
      <c r="D22" s="5" t="s">
        <v>4</v>
      </c>
      <c r="E22" s="5" t="s">
        <v>5</v>
      </c>
      <c r="F22" s="6" t="s">
        <v>6</v>
      </c>
    </row>
    <row r="23" spans="1:6" x14ac:dyDescent="0.25">
      <c r="A23" s="7">
        <v>1</v>
      </c>
      <c r="B23" s="8">
        <v>2</v>
      </c>
      <c r="C23" s="8">
        <v>3</v>
      </c>
      <c r="D23" s="8">
        <v>4</v>
      </c>
      <c r="E23" s="8">
        <v>5</v>
      </c>
      <c r="F23" s="9">
        <v>6</v>
      </c>
    </row>
    <row r="24" spans="1:6" x14ac:dyDescent="0.25">
      <c r="A24" s="10" t="s">
        <v>1</v>
      </c>
      <c r="B24" s="11" t="s">
        <v>76</v>
      </c>
      <c r="C24" s="12"/>
      <c r="D24" s="12"/>
      <c r="E24" s="12"/>
      <c r="F24" s="13"/>
    </row>
    <row r="25" spans="1:6" x14ac:dyDescent="0.25">
      <c r="A25" s="14"/>
      <c r="B25" s="15" t="s">
        <v>40</v>
      </c>
      <c r="C25" s="16" t="s">
        <v>7</v>
      </c>
      <c r="D25" s="17">
        <v>0.75</v>
      </c>
      <c r="E25" s="18">
        <f>'HARGA BAHAN'!E4</f>
        <v>125000</v>
      </c>
      <c r="F25" s="19">
        <f>+D25*E25</f>
        <v>93750</v>
      </c>
    </row>
    <row r="26" spans="1:6" ht="14.4" thickBot="1" x14ac:dyDescent="0.3">
      <c r="A26" s="14"/>
      <c r="B26" s="20" t="s">
        <v>86</v>
      </c>
      <c r="C26" s="21" t="s">
        <v>7</v>
      </c>
      <c r="D26" s="22">
        <v>2.5000000000000001E-2</v>
      </c>
      <c r="E26" s="23">
        <f>'HARGA BAHAN'!E5</f>
        <v>160000</v>
      </c>
      <c r="F26" s="19">
        <f>+D26*E26</f>
        <v>4000</v>
      </c>
    </row>
    <row r="27" spans="1:6" ht="14.4" thickBot="1" x14ac:dyDescent="0.3">
      <c r="A27" s="28"/>
      <c r="B27" s="29"/>
      <c r="C27" s="30"/>
      <c r="D27" s="31" t="s">
        <v>8</v>
      </c>
      <c r="E27" s="32"/>
      <c r="F27" s="33">
        <f>SUM(F25:F26)</f>
        <v>97750</v>
      </c>
    </row>
    <row r="28" spans="1:6" x14ac:dyDescent="0.25">
      <c r="A28" s="34" t="s">
        <v>9</v>
      </c>
      <c r="B28" s="35" t="s">
        <v>77</v>
      </c>
      <c r="C28" s="36"/>
      <c r="D28" s="36"/>
      <c r="E28" s="36"/>
      <c r="F28" s="37"/>
    </row>
    <row r="29" spans="1:6" ht="14.4" thickBot="1" x14ac:dyDescent="0.3">
      <c r="A29" s="38"/>
      <c r="B29" s="39"/>
      <c r="C29" s="40"/>
      <c r="D29" s="41"/>
      <c r="E29" s="42"/>
      <c r="F29" s="43">
        <f>+D29*E29</f>
        <v>0</v>
      </c>
    </row>
    <row r="30" spans="1:6" ht="14.4" thickBot="1" x14ac:dyDescent="0.3">
      <c r="A30" s="28"/>
      <c r="B30" s="44"/>
      <c r="C30" s="44"/>
      <c r="D30" s="45" t="s">
        <v>10</v>
      </c>
      <c r="E30" s="44"/>
      <c r="F30" s="33">
        <f>SUM(F29:F29)</f>
        <v>0</v>
      </c>
    </row>
    <row r="31" spans="1:6" x14ac:dyDescent="0.25">
      <c r="A31" s="34" t="s">
        <v>11</v>
      </c>
      <c r="B31" s="35" t="s">
        <v>78</v>
      </c>
      <c r="C31" s="36"/>
      <c r="D31" s="36"/>
      <c r="E31" s="36"/>
      <c r="F31" s="37"/>
    </row>
    <row r="32" spans="1:6" ht="14.4" thickBot="1" x14ac:dyDescent="0.3">
      <c r="A32" s="46"/>
      <c r="B32" s="47"/>
      <c r="C32" s="48"/>
      <c r="D32" s="49"/>
      <c r="E32" s="50"/>
      <c r="F32" s="43">
        <f>+D32*E32</f>
        <v>0</v>
      </c>
    </row>
    <row r="33" spans="1:6" ht="14.4" thickBot="1" x14ac:dyDescent="0.3">
      <c r="A33" s="28"/>
      <c r="B33" s="29"/>
      <c r="C33" s="30"/>
      <c r="D33" s="31" t="s">
        <v>12</v>
      </c>
      <c r="E33" s="32"/>
      <c r="F33" s="33">
        <f>SUM(F32)</f>
        <v>0</v>
      </c>
    </row>
    <row r="34" spans="1:6" x14ac:dyDescent="0.25">
      <c r="A34" s="34" t="s">
        <v>13</v>
      </c>
      <c r="B34" s="35" t="s">
        <v>79</v>
      </c>
      <c r="C34" s="52"/>
      <c r="D34" s="52"/>
      <c r="E34" s="53"/>
      <c r="F34" s="54">
        <f>+F27+F30+F33</f>
        <v>97750</v>
      </c>
    </row>
    <row r="35" spans="1:6" x14ac:dyDescent="0.25">
      <c r="A35" s="10" t="s">
        <v>15</v>
      </c>
      <c r="B35" s="11" t="s">
        <v>80</v>
      </c>
      <c r="C35" s="55"/>
      <c r="D35" s="55"/>
      <c r="E35" s="56"/>
      <c r="F35" s="57">
        <f>F34*15%</f>
        <v>14662.5</v>
      </c>
    </row>
    <row r="36" spans="1:6" ht="14.4" thickBot="1" x14ac:dyDescent="0.3">
      <c r="A36" s="58" t="s">
        <v>16</v>
      </c>
      <c r="B36" s="59" t="s">
        <v>81</v>
      </c>
      <c r="C36" s="60"/>
      <c r="D36" s="60"/>
      <c r="E36" s="61"/>
      <c r="F36" s="62">
        <f>SUM(F34:F35)</f>
        <v>112412.5</v>
      </c>
    </row>
    <row r="38" spans="1:6" ht="14.4" thickBot="1" x14ac:dyDescent="0.3">
      <c r="A38" s="406" t="s">
        <v>263</v>
      </c>
      <c r="B38" s="2" t="s">
        <v>264</v>
      </c>
      <c r="C38" s="3"/>
      <c r="D38" s="3"/>
      <c r="E38" s="3"/>
      <c r="F38" s="3"/>
    </row>
    <row r="39" spans="1:6" ht="28.2" thickBot="1" x14ac:dyDescent="0.3">
      <c r="A39" s="4" t="s">
        <v>2</v>
      </c>
      <c r="B39" s="5" t="s">
        <v>3</v>
      </c>
      <c r="C39" s="5" t="s">
        <v>0</v>
      </c>
      <c r="D39" s="5" t="s">
        <v>4</v>
      </c>
      <c r="E39" s="5" t="s">
        <v>5</v>
      </c>
      <c r="F39" s="6" t="s">
        <v>6</v>
      </c>
    </row>
    <row r="40" spans="1:6" x14ac:dyDescent="0.25">
      <c r="A40" s="7">
        <v>1</v>
      </c>
      <c r="B40" s="8">
        <v>2</v>
      </c>
      <c r="C40" s="8">
        <v>3</v>
      </c>
      <c r="D40" s="8">
        <v>4</v>
      </c>
      <c r="E40" s="8">
        <v>5</v>
      </c>
      <c r="F40" s="9">
        <v>6</v>
      </c>
    </row>
    <row r="41" spans="1:6" x14ac:dyDescent="0.25">
      <c r="A41" s="407" t="s">
        <v>1</v>
      </c>
      <c r="B41" s="408" t="s">
        <v>150</v>
      </c>
      <c r="C41" s="409"/>
      <c r="D41" s="409"/>
      <c r="E41" s="409"/>
      <c r="F41" s="410"/>
    </row>
    <row r="42" spans="1:6" ht="14.4" thickBot="1" x14ac:dyDescent="0.3">
      <c r="A42" s="14"/>
      <c r="B42" s="15" t="s">
        <v>151</v>
      </c>
      <c r="C42" s="16" t="s">
        <v>7</v>
      </c>
      <c r="D42" s="17">
        <v>0.03</v>
      </c>
      <c r="E42" s="18">
        <f>'HARGA BAHAN'!E4</f>
        <v>125000</v>
      </c>
      <c r="F42" s="19">
        <f>+D42*E42</f>
        <v>3750</v>
      </c>
    </row>
    <row r="43" spans="1:6" ht="14.4" thickBot="1" x14ac:dyDescent="0.3">
      <c r="A43" s="28"/>
      <c r="B43" s="29"/>
      <c r="C43" s="30"/>
      <c r="D43" s="31" t="s">
        <v>8</v>
      </c>
      <c r="E43" s="32"/>
      <c r="F43" s="33">
        <f>SUM(F42:F42)</f>
        <v>3750</v>
      </c>
    </row>
    <row r="44" spans="1:6" x14ac:dyDescent="0.25">
      <c r="A44" s="34" t="s">
        <v>9</v>
      </c>
      <c r="B44" s="35" t="s">
        <v>155</v>
      </c>
      <c r="C44" s="36"/>
      <c r="D44" s="36"/>
      <c r="E44" s="36"/>
      <c r="F44" s="37"/>
    </row>
    <row r="45" spans="1:6" ht="14.4" thickBot="1" x14ac:dyDescent="0.3">
      <c r="A45" s="38"/>
      <c r="B45" s="39"/>
      <c r="C45" s="40"/>
      <c r="D45" s="41"/>
      <c r="E45" s="42"/>
      <c r="F45" s="43"/>
    </row>
    <row r="46" spans="1:6" ht="14.4" thickBot="1" x14ac:dyDescent="0.3">
      <c r="A46" s="28"/>
      <c r="B46" s="44"/>
      <c r="C46" s="44"/>
      <c r="D46" s="45" t="s">
        <v>10</v>
      </c>
      <c r="E46" s="44"/>
      <c r="F46" s="33">
        <f>SUM(F45:F45)</f>
        <v>0</v>
      </c>
    </row>
    <row r="47" spans="1:6" x14ac:dyDescent="0.25">
      <c r="A47" s="34" t="s">
        <v>11</v>
      </c>
      <c r="B47" s="35" t="s">
        <v>160</v>
      </c>
      <c r="C47" s="36"/>
      <c r="D47" s="36"/>
      <c r="E47" s="36"/>
      <c r="F47" s="37"/>
    </row>
    <row r="48" spans="1:6" ht="14.4" thickBot="1" x14ac:dyDescent="0.3">
      <c r="A48" s="46"/>
      <c r="B48" s="47"/>
      <c r="C48" s="48"/>
      <c r="D48" s="49"/>
      <c r="E48" s="50"/>
      <c r="F48" s="51"/>
    </row>
    <row r="49" spans="1:6" ht="14.4" thickBot="1" x14ac:dyDescent="0.3">
      <c r="A49" s="28"/>
      <c r="B49" s="29"/>
      <c r="C49" s="30"/>
      <c r="D49" s="31" t="s">
        <v>12</v>
      </c>
      <c r="E49" s="32"/>
      <c r="F49" s="33">
        <f>SUM(F48)</f>
        <v>0</v>
      </c>
    </row>
    <row r="50" spans="1:6" x14ac:dyDescent="0.25">
      <c r="A50" s="34" t="s">
        <v>13</v>
      </c>
      <c r="B50" s="35" t="s">
        <v>14</v>
      </c>
      <c r="C50" s="52"/>
      <c r="D50" s="52"/>
      <c r="E50" s="53"/>
      <c r="F50" s="54">
        <f>+F43+F46+F49</f>
        <v>3750</v>
      </c>
    </row>
    <row r="51" spans="1:6" x14ac:dyDescent="0.25">
      <c r="A51" s="10" t="s">
        <v>15</v>
      </c>
      <c r="B51" s="11" t="s">
        <v>51</v>
      </c>
      <c r="C51" s="55"/>
      <c r="D51" s="55"/>
      <c r="E51" s="56"/>
      <c r="F51" s="57">
        <f>F50*15%</f>
        <v>562.5</v>
      </c>
    </row>
    <row r="52" spans="1:6" ht="14.4" thickBot="1" x14ac:dyDescent="0.3">
      <c r="A52" s="58" t="s">
        <v>16</v>
      </c>
      <c r="B52" s="59" t="s">
        <v>17</v>
      </c>
      <c r="C52" s="60"/>
      <c r="D52" s="60"/>
      <c r="E52" s="61"/>
      <c r="F52" s="62">
        <f>SUM(F50:F51)</f>
        <v>4312.5</v>
      </c>
    </row>
    <row r="54" spans="1:6" ht="14.4" thickBot="1" x14ac:dyDescent="0.3">
      <c r="A54" s="411" t="s">
        <v>576</v>
      </c>
      <c r="B54" s="161" t="s">
        <v>577</v>
      </c>
      <c r="C54" s="162"/>
      <c r="D54" s="162"/>
      <c r="E54" s="162"/>
      <c r="F54" s="162"/>
    </row>
    <row r="55" spans="1:6" ht="28.2" thickBot="1" x14ac:dyDescent="0.3">
      <c r="A55" s="163" t="s">
        <v>2</v>
      </c>
      <c r="B55" s="164" t="s">
        <v>3</v>
      </c>
      <c r="C55" s="164" t="s">
        <v>0</v>
      </c>
      <c r="D55" s="164" t="s">
        <v>4</v>
      </c>
      <c r="E55" s="164" t="s">
        <v>5</v>
      </c>
      <c r="F55" s="165" t="s">
        <v>6</v>
      </c>
    </row>
    <row r="56" spans="1:6" x14ac:dyDescent="0.25">
      <c r="A56" s="166">
        <v>1</v>
      </c>
      <c r="B56" s="167">
        <v>2</v>
      </c>
      <c r="C56" s="167">
        <v>3</v>
      </c>
      <c r="D56" s="167">
        <v>4</v>
      </c>
      <c r="E56" s="167">
        <v>5</v>
      </c>
      <c r="F56" s="168">
        <v>6</v>
      </c>
    </row>
    <row r="57" spans="1:6" x14ac:dyDescent="0.25">
      <c r="A57" s="412" t="s">
        <v>1</v>
      </c>
      <c r="B57" s="413" t="s">
        <v>150</v>
      </c>
      <c r="C57" s="414"/>
      <c r="D57" s="414"/>
      <c r="E57" s="414"/>
      <c r="F57" s="415"/>
    </row>
    <row r="58" spans="1:6" x14ac:dyDescent="0.25">
      <c r="A58" s="173"/>
      <c r="B58" s="174" t="s">
        <v>151</v>
      </c>
      <c r="C58" s="175" t="s">
        <v>7</v>
      </c>
      <c r="D58" s="176">
        <v>0.05</v>
      </c>
      <c r="E58" s="177">
        <f>'HARGA BAHAN'!E4</f>
        <v>125000</v>
      </c>
      <c r="F58" s="178">
        <f>+D58*E58</f>
        <v>6250</v>
      </c>
    </row>
    <row r="59" spans="1:6" ht="14.4" thickBot="1" x14ac:dyDescent="0.3">
      <c r="A59" s="173"/>
      <c r="B59" s="174" t="s">
        <v>154</v>
      </c>
      <c r="C59" s="175" t="s">
        <v>7</v>
      </c>
      <c r="D59" s="176">
        <v>2.5000000000000001E-2</v>
      </c>
      <c r="E59" s="204">
        <f>'HARGA BAHAN'!E7</f>
        <v>175000</v>
      </c>
      <c r="F59" s="178">
        <f t="shared" ref="F59" si="0">+D59*E59</f>
        <v>4375</v>
      </c>
    </row>
    <row r="60" spans="1:6" ht="14.4" thickBot="1" x14ac:dyDescent="0.3">
      <c r="A60" s="186"/>
      <c r="B60" s="187"/>
      <c r="C60" s="188"/>
      <c r="D60" s="189" t="s">
        <v>8</v>
      </c>
      <c r="E60" s="190"/>
      <c r="F60" s="191">
        <f>SUM(F58:F59)</f>
        <v>10625</v>
      </c>
    </row>
    <row r="61" spans="1:6" x14ac:dyDescent="0.25">
      <c r="A61" s="192" t="s">
        <v>9</v>
      </c>
      <c r="B61" s="193" t="s">
        <v>155</v>
      </c>
      <c r="C61" s="194"/>
      <c r="D61" s="194"/>
      <c r="E61" s="194"/>
      <c r="F61" s="195"/>
    </row>
    <row r="62" spans="1:6" ht="14.4" thickBot="1" x14ac:dyDescent="0.3">
      <c r="A62" s="196"/>
      <c r="B62" s="197"/>
      <c r="C62" s="198"/>
      <c r="D62" s="388"/>
      <c r="E62" s="200"/>
      <c r="F62" s="201"/>
    </row>
    <row r="63" spans="1:6" ht="14.4" thickBot="1" x14ac:dyDescent="0.3">
      <c r="A63" s="186"/>
      <c r="B63" s="205"/>
      <c r="C63" s="205"/>
      <c r="D63" s="206" t="s">
        <v>10</v>
      </c>
      <c r="E63" s="205"/>
      <c r="F63" s="191">
        <f>SUM(F62:F62)</f>
        <v>0</v>
      </c>
    </row>
    <row r="64" spans="1:6" x14ac:dyDescent="0.25">
      <c r="A64" s="192" t="s">
        <v>11</v>
      </c>
      <c r="B64" s="193" t="s">
        <v>160</v>
      </c>
      <c r="C64" s="194"/>
      <c r="D64" s="194"/>
      <c r="E64" s="194"/>
      <c r="F64" s="195"/>
    </row>
    <row r="65" spans="1:6" ht="14.4" thickBot="1" x14ac:dyDescent="0.3">
      <c r="A65" s="207"/>
      <c r="B65" s="208"/>
      <c r="C65" s="209"/>
      <c r="D65" s="210"/>
      <c r="E65" s="211"/>
      <c r="F65" s="212"/>
    </row>
    <row r="66" spans="1:6" ht="14.4" thickBot="1" x14ac:dyDescent="0.3">
      <c r="A66" s="186"/>
      <c r="B66" s="187"/>
      <c r="C66" s="188"/>
      <c r="D66" s="189" t="s">
        <v>12</v>
      </c>
      <c r="E66" s="190"/>
      <c r="F66" s="191">
        <f>SUM(F65)</f>
        <v>0</v>
      </c>
    </row>
    <row r="67" spans="1:6" x14ac:dyDescent="0.25">
      <c r="A67" s="192" t="s">
        <v>13</v>
      </c>
      <c r="B67" s="193" t="s">
        <v>14</v>
      </c>
      <c r="C67" s="213"/>
      <c r="D67" s="213"/>
      <c r="E67" s="214"/>
      <c r="F67" s="215">
        <f>+F60+F63+F66</f>
        <v>10625</v>
      </c>
    </row>
    <row r="68" spans="1:6" x14ac:dyDescent="0.25">
      <c r="A68" s="169" t="s">
        <v>15</v>
      </c>
      <c r="B68" s="170" t="s">
        <v>51</v>
      </c>
      <c r="C68" s="216"/>
      <c r="D68" s="216"/>
      <c r="E68" s="217"/>
      <c r="F68" s="218">
        <f>F67*15%</f>
        <v>1593.75</v>
      </c>
    </row>
    <row r="69" spans="1:6" ht="14.4" thickBot="1" x14ac:dyDescent="0.3">
      <c r="A69" s="219" t="s">
        <v>16</v>
      </c>
      <c r="B69" s="220" t="s">
        <v>17</v>
      </c>
      <c r="C69" s="221"/>
      <c r="D69" s="221"/>
      <c r="E69" s="222"/>
      <c r="F69" s="223">
        <f>SUM(F67:F68)</f>
        <v>12218.75</v>
      </c>
    </row>
    <row r="71" spans="1:6" ht="14.4" thickBot="1" x14ac:dyDescent="0.3">
      <c r="A71" s="552" t="s">
        <v>424</v>
      </c>
      <c r="B71" s="297" t="s">
        <v>425</v>
      </c>
      <c r="C71" s="298"/>
      <c r="D71" s="298"/>
      <c r="E71" s="298"/>
      <c r="F71" s="298"/>
    </row>
    <row r="72" spans="1:6" ht="28.2" thickBot="1" x14ac:dyDescent="0.3">
      <c r="A72" s="299" t="s">
        <v>2</v>
      </c>
      <c r="B72" s="300" t="s">
        <v>3</v>
      </c>
      <c r="C72" s="300" t="s">
        <v>0</v>
      </c>
      <c r="D72" s="300" t="s">
        <v>4</v>
      </c>
      <c r="E72" s="300" t="s">
        <v>5</v>
      </c>
      <c r="F72" s="301" t="s">
        <v>6</v>
      </c>
    </row>
    <row r="73" spans="1:6" x14ac:dyDescent="0.25">
      <c r="A73" s="302">
        <v>1</v>
      </c>
      <c r="B73" s="303">
        <v>2</v>
      </c>
      <c r="C73" s="303">
        <v>3</v>
      </c>
      <c r="D73" s="303">
        <v>4</v>
      </c>
      <c r="E73" s="303">
        <v>5</v>
      </c>
      <c r="F73" s="304">
        <v>6</v>
      </c>
    </row>
    <row r="74" spans="1:6" x14ac:dyDescent="0.25">
      <c r="A74" s="553" t="s">
        <v>1</v>
      </c>
      <c r="B74" s="554" t="s">
        <v>150</v>
      </c>
      <c r="C74" s="555"/>
      <c r="D74" s="555"/>
      <c r="E74" s="555"/>
      <c r="F74" s="556"/>
    </row>
    <row r="75" spans="1:6" x14ac:dyDescent="0.25">
      <c r="A75" s="309"/>
      <c r="B75" s="310" t="s">
        <v>151</v>
      </c>
      <c r="C75" s="311" t="s">
        <v>7</v>
      </c>
      <c r="D75" s="312">
        <v>0.3</v>
      </c>
      <c r="E75" s="313">
        <f>'HARGA BAHAN'!E4</f>
        <v>125000</v>
      </c>
      <c r="F75" s="314">
        <f>+D75*E75</f>
        <v>37500</v>
      </c>
    </row>
    <row r="76" spans="1:6" ht="14.4" thickBot="1" x14ac:dyDescent="0.3">
      <c r="A76" s="309"/>
      <c r="B76" s="310" t="s">
        <v>154</v>
      </c>
      <c r="C76" s="311" t="s">
        <v>7</v>
      </c>
      <c r="D76" s="312">
        <v>0.03</v>
      </c>
      <c r="E76" s="551">
        <f>'HARGA BAHAN'!E7</f>
        <v>175000</v>
      </c>
      <c r="F76" s="314">
        <f t="shared" ref="F76" si="1">+D76*E76</f>
        <v>5250</v>
      </c>
    </row>
    <row r="77" spans="1:6" ht="14.4" thickBot="1" x14ac:dyDescent="0.3">
      <c r="A77" s="322"/>
      <c r="B77" s="323"/>
      <c r="C77" s="324"/>
      <c r="D77" s="325" t="s">
        <v>8</v>
      </c>
      <c r="E77" s="326"/>
      <c r="F77" s="327">
        <f>SUM(F75:F76)</f>
        <v>42750</v>
      </c>
    </row>
    <row r="78" spans="1:6" x14ac:dyDescent="0.25">
      <c r="A78" s="328" t="s">
        <v>9</v>
      </c>
      <c r="B78" s="329" t="s">
        <v>155</v>
      </c>
      <c r="C78" s="330"/>
      <c r="D78" s="330"/>
      <c r="E78" s="330"/>
      <c r="F78" s="331"/>
    </row>
    <row r="79" spans="1:6" ht="14.4" thickBot="1" x14ac:dyDescent="0.3">
      <c r="A79" s="332"/>
      <c r="B79" s="333"/>
      <c r="C79" s="334"/>
      <c r="D79" s="335"/>
      <c r="E79" s="336"/>
      <c r="F79" s="403"/>
    </row>
    <row r="80" spans="1:6" ht="14.4" thickBot="1" x14ac:dyDescent="0.3">
      <c r="A80" s="322"/>
      <c r="B80" s="347"/>
      <c r="C80" s="347"/>
      <c r="D80" s="348" t="s">
        <v>10</v>
      </c>
      <c r="E80" s="347"/>
      <c r="F80" s="327">
        <f>SUM(F79:F79)</f>
        <v>0</v>
      </c>
    </row>
    <row r="81" spans="1:6" x14ac:dyDescent="0.25">
      <c r="A81" s="328" t="s">
        <v>11</v>
      </c>
      <c r="B81" s="329" t="s">
        <v>160</v>
      </c>
      <c r="C81" s="330"/>
      <c r="D81" s="330"/>
      <c r="E81" s="330"/>
      <c r="F81" s="331"/>
    </row>
    <row r="82" spans="1:6" ht="14.4" thickBot="1" x14ac:dyDescent="0.3">
      <c r="A82" s="349"/>
      <c r="B82" s="350"/>
      <c r="C82" s="351"/>
      <c r="D82" s="352"/>
      <c r="E82" s="353"/>
      <c r="F82" s="354"/>
    </row>
    <row r="83" spans="1:6" ht="14.4" thickBot="1" x14ac:dyDescent="0.3">
      <c r="A83" s="322"/>
      <c r="B83" s="323"/>
      <c r="C83" s="324"/>
      <c r="D83" s="325" t="s">
        <v>12</v>
      </c>
      <c r="E83" s="326"/>
      <c r="F83" s="327">
        <f>SUM(F82)</f>
        <v>0</v>
      </c>
    </row>
    <row r="84" spans="1:6" x14ac:dyDescent="0.25">
      <c r="A84" s="328" t="s">
        <v>13</v>
      </c>
      <c r="B84" s="329" t="s">
        <v>14</v>
      </c>
      <c r="C84" s="355"/>
      <c r="D84" s="355"/>
      <c r="E84" s="356"/>
      <c r="F84" s="357">
        <f>+F77+F80+F83</f>
        <v>42750</v>
      </c>
    </row>
    <row r="85" spans="1:6" x14ac:dyDescent="0.25">
      <c r="A85" s="305" t="s">
        <v>15</v>
      </c>
      <c r="B85" s="306" t="s">
        <v>51</v>
      </c>
      <c r="C85" s="358"/>
      <c r="D85" s="358"/>
      <c r="E85" s="359"/>
      <c r="F85" s="360">
        <f>F84*15%</f>
        <v>6412.5</v>
      </c>
    </row>
    <row r="86" spans="1:6" ht="14.4" thickBot="1" x14ac:dyDescent="0.3">
      <c r="A86" s="361" t="s">
        <v>16</v>
      </c>
      <c r="B86" s="362" t="s">
        <v>17</v>
      </c>
      <c r="C86" s="363"/>
      <c r="D86" s="363"/>
      <c r="E86" s="364"/>
      <c r="F86" s="365">
        <f>SUM(F84:F85)</f>
        <v>49162.5</v>
      </c>
    </row>
    <row r="88" spans="1:6" ht="14.4" thickBot="1" x14ac:dyDescent="0.3">
      <c r="A88" s="552" t="s">
        <v>435</v>
      </c>
      <c r="B88" s="297" t="s">
        <v>434</v>
      </c>
      <c r="C88" s="298"/>
      <c r="D88" s="298"/>
      <c r="E88" s="298"/>
      <c r="F88" s="298"/>
    </row>
    <row r="89" spans="1:6" ht="28.2" thickBot="1" x14ac:dyDescent="0.3">
      <c r="A89" s="299" t="s">
        <v>2</v>
      </c>
      <c r="B89" s="300" t="s">
        <v>3</v>
      </c>
      <c r="C89" s="300" t="s">
        <v>0</v>
      </c>
      <c r="D89" s="300" t="s">
        <v>4</v>
      </c>
      <c r="E89" s="300" t="s">
        <v>5</v>
      </c>
      <c r="F89" s="301" t="s">
        <v>6</v>
      </c>
    </row>
    <row r="90" spans="1:6" x14ac:dyDescent="0.25">
      <c r="A90" s="302">
        <v>1</v>
      </c>
      <c r="B90" s="303">
        <v>2</v>
      </c>
      <c r="C90" s="303">
        <v>3</v>
      </c>
      <c r="D90" s="303">
        <v>4</v>
      </c>
      <c r="E90" s="303">
        <v>5</v>
      </c>
      <c r="F90" s="304">
        <v>6</v>
      </c>
    </row>
    <row r="91" spans="1:6" x14ac:dyDescent="0.25">
      <c r="A91" s="553" t="s">
        <v>1</v>
      </c>
      <c r="B91" s="554" t="s">
        <v>150</v>
      </c>
      <c r="C91" s="555"/>
      <c r="D91" s="555"/>
      <c r="E91" s="555"/>
      <c r="F91" s="556"/>
    </row>
    <row r="92" spans="1:6" x14ac:dyDescent="0.25">
      <c r="A92" s="309"/>
      <c r="B92" s="310" t="s">
        <v>151</v>
      </c>
      <c r="C92" s="311" t="s">
        <v>7</v>
      </c>
      <c r="D92" s="312">
        <v>2</v>
      </c>
      <c r="E92" s="313">
        <f>'HARGA BAHAN'!E4</f>
        <v>125000</v>
      </c>
      <c r="F92" s="314">
        <f>+D92*E92</f>
        <v>250000</v>
      </c>
    </row>
    <row r="93" spans="1:6" ht="14.4" thickBot="1" x14ac:dyDescent="0.3">
      <c r="A93" s="309"/>
      <c r="B93" s="310" t="s">
        <v>154</v>
      </c>
      <c r="C93" s="311" t="s">
        <v>7</v>
      </c>
      <c r="D93" s="312">
        <v>0.1</v>
      </c>
      <c r="E93" s="551">
        <f>'HARGA BAHAN'!E7</f>
        <v>175000</v>
      </c>
      <c r="F93" s="314">
        <f t="shared" ref="F93" si="2">+D93*E93</f>
        <v>17500</v>
      </c>
    </row>
    <row r="94" spans="1:6" ht="14.4" thickBot="1" x14ac:dyDescent="0.3">
      <c r="A94" s="322"/>
      <c r="B94" s="323"/>
      <c r="C94" s="324"/>
      <c r="D94" s="325" t="s">
        <v>8</v>
      </c>
      <c r="E94" s="326"/>
      <c r="F94" s="327">
        <f>SUM(F92:F93)</f>
        <v>267500</v>
      </c>
    </row>
    <row r="95" spans="1:6" x14ac:dyDescent="0.25">
      <c r="A95" s="328" t="s">
        <v>9</v>
      </c>
      <c r="B95" s="329" t="s">
        <v>155</v>
      </c>
      <c r="C95" s="330"/>
      <c r="D95" s="330"/>
      <c r="E95" s="330"/>
      <c r="F95" s="331"/>
    </row>
    <row r="96" spans="1:6" ht="14.4" thickBot="1" x14ac:dyDescent="0.3">
      <c r="A96" s="332"/>
      <c r="B96" s="333"/>
      <c r="C96" s="334"/>
      <c r="D96" s="335"/>
      <c r="E96" s="336"/>
      <c r="F96" s="403"/>
    </row>
    <row r="97" spans="1:6" ht="14.4" thickBot="1" x14ac:dyDescent="0.3">
      <c r="A97" s="322"/>
      <c r="B97" s="347"/>
      <c r="C97" s="347"/>
      <c r="D97" s="348" t="s">
        <v>10</v>
      </c>
      <c r="E97" s="347"/>
      <c r="F97" s="327">
        <f>SUM(F96:F96)</f>
        <v>0</v>
      </c>
    </row>
    <row r="98" spans="1:6" x14ac:dyDescent="0.25">
      <c r="A98" s="328" t="s">
        <v>11</v>
      </c>
      <c r="B98" s="329" t="s">
        <v>160</v>
      </c>
      <c r="C98" s="330"/>
      <c r="D98" s="330"/>
      <c r="E98" s="330"/>
      <c r="F98" s="331"/>
    </row>
    <row r="99" spans="1:6" ht="14.4" thickBot="1" x14ac:dyDescent="0.3">
      <c r="A99" s="349"/>
      <c r="B99" s="350"/>
      <c r="C99" s="351"/>
      <c r="D99" s="352"/>
      <c r="E99" s="353"/>
      <c r="F99" s="354"/>
    </row>
    <row r="100" spans="1:6" ht="14.4" thickBot="1" x14ac:dyDescent="0.3">
      <c r="A100" s="322"/>
      <c r="B100" s="323"/>
      <c r="C100" s="324"/>
      <c r="D100" s="325" t="s">
        <v>12</v>
      </c>
      <c r="E100" s="326"/>
      <c r="F100" s="327">
        <f>SUM(F99)</f>
        <v>0</v>
      </c>
    </row>
    <row r="101" spans="1:6" x14ac:dyDescent="0.25">
      <c r="A101" s="328" t="s">
        <v>13</v>
      </c>
      <c r="B101" s="329" t="s">
        <v>14</v>
      </c>
      <c r="C101" s="355"/>
      <c r="D101" s="355"/>
      <c r="E101" s="356"/>
      <c r="F101" s="357">
        <f>+F94+F97+F100</f>
        <v>267500</v>
      </c>
    </row>
    <row r="102" spans="1:6" x14ac:dyDescent="0.25">
      <c r="A102" s="305" t="s">
        <v>15</v>
      </c>
      <c r="B102" s="306" t="s">
        <v>51</v>
      </c>
      <c r="C102" s="358"/>
      <c r="D102" s="358"/>
      <c r="E102" s="359"/>
      <c r="F102" s="360">
        <f>F101*15%</f>
        <v>40125</v>
      </c>
    </row>
    <row r="103" spans="1:6" ht="14.4" thickBot="1" x14ac:dyDescent="0.3">
      <c r="A103" s="361" t="s">
        <v>16</v>
      </c>
      <c r="B103" s="362" t="s">
        <v>17</v>
      </c>
      <c r="C103" s="363"/>
      <c r="D103" s="363"/>
      <c r="E103" s="364"/>
      <c r="F103" s="365">
        <f>SUM(F101:F102)</f>
        <v>307625</v>
      </c>
    </row>
    <row r="105" spans="1:6" ht="16.2" thickBot="1" x14ac:dyDescent="0.3">
      <c r="A105" s="71" t="s">
        <v>368</v>
      </c>
      <c r="B105" s="2" t="s">
        <v>84</v>
      </c>
      <c r="C105" s="3"/>
      <c r="D105" s="3"/>
      <c r="E105" s="3"/>
      <c r="F105" s="3"/>
    </row>
    <row r="106" spans="1:6" ht="28.2" thickBot="1" x14ac:dyDescent="0.3">
      <c r="A106" s="4" t="s">
        <v>2</v>
      </c>
      <c r="B106" s="5" t="s">
        <v>3</v>
      </c>
      <c r="C106" s="5" t="s">
        <v>0</v>
      </c>
      <c r="D106" s="5" t="s">
        <v>4</v>
      </c>
      <c r="E106" s="5" t="s">
        <v>5</v>
      </c>
      <c r="F106" s="6" t="s">
        <v>6</v>
      </c>
    </row>
    <row r="107" spans="1:6" x14ac:dyDescent="0.25">
      <c r="A107" s="7">
        <v>1</v>
      </c>
      <c r="B107" s="8">
        <v>2</v>
      </c>
      <c r="C107" s="8">
        <v>3</v>
      </c>
      <c r="D107" s="8">
        <v>4</v>
      </c>
      <c r="E107" s="8">
        <v>5</v>
      </c>
      <c r="F107" s="9">
        <v>6</v>
      </c>
    </row>
    <row r="108" spans="1:6" x14ac:dyDescent="0.25">
      <c r="A108" s="10" t="s">
        <v>1</v>
      </c>
      <c r="B108" s="11" t="s">
        <v>76</v>
      </c>
      <c r="C108" s="12"/>
      <c r="D108" s="12"/>
      <c r="E108" s="12"/>
      <c r="F108" s="13"/>
    </row>
    <row r="109" spans="1:6" x14ac:dyDescent="0.25">
      <c r="A109" s="14"/>
      <c r="B109" s="15" t="s">
        <v>40</v>
      </c>
      <c r="C109" s="16" t="s">
        <v>7</v>
      </c>
      <c r="D109" s="17">
        <v>1.2</v>
      </c>
      <c r="E109" s="18">
        <f>'HARGA BAHAN'!E4</f>
        <v>125000</v>
      </c>
      <c r="F109" s="19">
        <f>+D109*E109</f>
        <v>150000</v>
      </c>
    </row>
    <row r="110" spans="1:6" x14ac:dyDescent="0.25">
      <c r="A110" s="14"/>
      <c r="B110" s="20" t="s">
        <v>86</v>
      </c>
      <c r="C110" s="21" t="s">
        <v>7</v>
      </c>
      <c r="D110" s="22">
        <v>0.2</v>
      </c>
      <c r="E110" s="18">
        <f>'HARGA BAHAN'!E5</f>
        <v>160000</v>
      </c>
      <c r="F110" s="19">
        <f>+D110*E110</f>
        <v>32000</v>
      </c>
    </row>
    <row r="111" spans="1:6" x14ac:dyDescent="0.25">
      <c r="A111" s="14"/>
      <c r="B111" s="15" t="s">
        <v>87</v>
      </c>
      <c r="C111" s="16" t="s">
        <v>7</v>
      </c>
      <c r="D111" s="17">
        <v>0.02</v>
      </c>
      <c r="E111" s="18">
        <f>'HARGA BAHAN'!E6</f>
        <v>180000</v>
      </c>
      <c r="F111" s="19">
        <f>+D111*E111</f>
        <v>3600</v>
      </c>
    </row>
    <row r="112" spans="1:6" ht="14.4" thickBot="1" x14ac:dyDescent="0.3">
      <c r="A112" s="24"/>
      <c r="B112" s="25" t="s">
        <v>42</v>
      </c>
      <c r="C112" s="26" t="s">
        <v>7</v>
      </c>
      <c r="D112" s="27">
        <v>0.06</v>
      </c>
      <c r="E112" s="18">
        <f>'HARGA BAHAN'!E7</f>
        <v>175000</v>
      </c>
      <c r="F112" s="19">
        <f>+D112*E112</f>
        <v>10500</v>
      </c>
    </row>
    <row r="113" spans="1:6" ht="14.4" thickBot="1" x14ac:dyDescent="0.3">
      <c r="A113" s="28"/>
      <c r="B113" s="29"/>
      <c r="C113" s="30"/>
      <c r="D113" s="31" t="s">
        <v>8</v>
      </c>
      <c r="E113" s="32"/>
      <c r="F113" s="33">
        <f>SUM(F109:F112)</f>
        <v>196100</v>
      </c>
    </row>
    <row r="114" spans="1:6" x14ac:dyDescent="0.25">
      <c r="A114" s="34" t="s">
        <v>9</v>
      </c>
      <c r="B114" s="35" t="s">
        <v>77</v>
      </c>
      <c r="C114" s="36"/>
      <c r="D114" s="36"/>
      <c r="E114" s="36"/>
      <c r="F114" s="37"/>
    </row>
    <row r="115" spans="1:6" x14ac:dyDescent="0.25">
      <c r="A115" s="38"/>
      <c r="B115" s="39" t="s">
        <v>85</v>
      </c>
      <c r="C115" s="40" t="s">
        <v>21</v>
      </c>
      <c r="D115" s="75">
        <v>230</v>
      </c>
      <c r="E115" s="42">
        <f>'HARGA BAHAN'!E13</f>
        <v>2000</v>
      </c>
      <c r="F115" s="43">
        <f>+D115*E115</f>
        <v>460000</v>
      </c>
    </row>
    <row r="116" spans="1:6" x14ac:dyDescent="0.25">
      <c r="A116" s="68"/>
      <c r="B116" s="20" t="s">
        <v>89</v>
      </c>
      <c r="C116" s="21" t="s">
        <v>21</v>
      </c>
      <c r="D116" s="76">
        <v>893</v>
      </c>
      <c r="E116" s="23">
        <f>'HARGA BAHAN'!E16</f>
        <v>150</v>
      </c>
      <c r="F116" s="19">
        <f>+D116*E116</f>
        <v>133950</v>
      </c>
    </row>
    <row r="117" spans="1:6" x14ac:dyDescent="0.25">
      <c r="A117" s="68"/>
      <c r="B117" s="20" t="s">
        <v>90</v>
      </c>
      <c r="C117" s="21" t="s">
        <v>21</v>
      </c>
      <c r="D117" s="76">
        <v>1027</v>
      </c>
      <c r="E117" s="23">
        <f>'HARGA BAHAN'!E18</f>
        <v>270</v>
      </c>
      <c r="F117" s="19">
        <f>+D117*E117</f>
        <v>277290</v>
      </c>
    </row>
    <row r="118" spans="1:6" ht="14.4" thickBot="1" x14ac:dyDescent="0.3">
      <c r="A118" s="14"/>
      <c r="B118" s="15" t="s">
        <v>92</v>
      </c>
      <c r="C118" s="16" t="s">
        <v>88</v>
      </c>
      <c r="D118" s="77">
        <v>200</v>
      </c>
      <c r="E118" s="18">
        <f>'HARGA BAHAN'!E19</f>
        <v>120</v>
      </c>
      <c r="F118" s="74">
        <f>+D118*E118</f>
        <v>24000</v>
      </c>
    </row>
    <row r="119" spans="1:6" ht="14.4" thickBot="1" x14ac:dyDescent="0.3">
      <c r="A119" s="28"/>
      <c r="B119" s="44"/>
      <c r="C119" s="44"/>
      <c r="D119" s="45" t="s">
        <v>10</v>
      </c>
      <c r="E119" s="44"/>
      <c r="F119" s="33">
        <f>SUM(F115:F118)</f>
        <v>895240</v>
      </c>
    </row>
    <row r="120" spans="1:6" x14ac:dyDescent="0.25">
      <c r="A120" s="34" t="s">
        <v>11</v>
      </c>
      <c r="B120" s="35" t="s">
        <v>78</v>
      </c>
      <c r="C120" s="36"/>
      <c r="D120" s="36"/>
      <c r="E120" s="36"/>
      <c r="F120" s="37"/>
    </row>
    <row r="121" spans="1:6" ht="14.4" thickBot="1" x14ac:dyDescent="0.3">
      <c r="A121" s="46"/>
      <c r="B121" s="47"/>
      <c r="C121" s="48"/>
      <c r="D121" s="49"/>
      <c r="E121" s="50"/>
      <c r="F121" s="51"/>
    </row>
    <row r="122" spans="1:6" ht="14.4" thickBot="1" x14ac:dyDescent="0.3">
      <c r="A122" s="28"/>
      <c r="B122" s="29"/>
      <c r="C122" s="30"/>
      <c r="D122" s="31" t="s">
        <v>12</v>
      </c>
      <c r="E122" s="32"/>
      <c r="F122" s="33">
        <f>SUM(F121)</f>
        <v>0</v>
      </c>
    </row>
    <row r="123" spans="1:6" x14ac:dyDescent="0.25">
      <c r="A123" s="34" t="s">
        <v>13</v>
      </c>
      <c r="B123" s="35" t="s">
        <v>14</v>
      </c>
      <c r="C123" s="52"/>
      <c r="D123" s="52"/>
      <c r="E123" s="53"/>
      <c r="F123" s="54">
        <f>+F113+F119+F122</f>
        <v>1091340</v>
      </c>
    </row>
    <row r="124" spans="1:6" x14ac:dyDescent="0.25">
      <c r="A124" s="10" t="s">
        <v>15</v>
      </c>
      <c r="B124" s="11" t="s">
        <v>51</v>
      </c>
      <c r="C124" s="55"/>
      <c r="D124" s="55"/>
      <c r="E124" s="56"/>
      <c r="F124" s="57">
        <f>F123*15%</f>
        <v>163701</v>
      </c>
    </row>
    <row r="125" spans="1:6" ht="14.4" thickBot="1" x14ac:dyDescent="0.3">
      <c r="A125" s="58" t="s">
        <v>16</v>
      </c>
      <c r="B125" s="59" t="s">
        <v>17</v>
      </c>
      <c r="C125" s="60"/>
      <c r="D125" s="60"/>
      <c r="E125" s="61"/>
      <c r="F125" s="62">
        <f>SUM(F123:F124)</f>
        <v>1255041</v>
      </c>
    </row>
    <row r="127" spans="1:6" ht="16.2" thickBot="1" x14ac:dyDescent="0.3">
      <c r="A127" s="71" t="s">
        <v>229</v>
      </c>
      <c r="B127" s="2" t="s">
        <v>230</v>
      </c>
      <c r="C127" s="3"/>
      <c r="D127" s="3"/>
      <c r="E127" s="3"/>
      <c r="F127" s="3"/>
    </row>
    <row r="128" spans="1:6" ht="28.2" thickBot="1" x14ac:dyDescent="0.3">
      <c r="A128" s="4" t="s">
        <v>2</v>
      </c>
      <c r="B128" s="5" t="s">
        <v>3</v>
      </c>
      <c r="C128" s="5" t="s">
        <v>0</v>
      </c>
      <c r="D128" s="5" t="s">
        <v>4</v>
      </c>
      <c r="E128" s="5" t="s">
        <v>5</v>
      </c>
      <c r="F128" s="6" t="s">
        <v>6</v>
      </c>
    </row>
    <row r="129" spans="1:6" x14ac:dyDescent="0.25">
      <c r="A129" s="7">
        <v>1</v>
      </c>
      <c r="B129" s="8">
        <v>2</v>
      </c>
      <c r="C129" s="8">
        <v>3</v>
      </c>
      <c r="D129" s="8">
        <v>4</v>
      </c>
      <c r="E129" s="8">
        <v>5</v>
      </c>
      <c r="F129" s="9">
        <v>6</v>
      </c>
    </row>
    <row r="130" spans="1:6" x14ac:dyDescent="0.25">
      <c r="A130" s="10" t="s">
        <v>1</v>
      </c>
      <c r="B130" s="11" t="s">
        <v>76</v>
      </c>
      <c r="C130" s="12"/>
      <c r="D130" s="12"/>
      <c r="E130" s="12"/>
      <c r="F130" s="13"/>
    </row>
    <row r="131" spans="1:6" x14ac:dyDescent="0.25">
      <c r="A131" s="14"/>
      <c r="B131" s="15" t="s">
        <v>40</v>
      </c>
      <c r="C131" s="16" t="s">
        <v>7</v>
      </c>
      <c r="D131" s="17">
        <v>1.65</v>
      </c>
      <c r="E131" s="18">
        <f>'HARGA BAHAN'!E4</f>
        <v>125000</v>
      </c>
      <c r="F131" s="19">
        <f>+D131*E131</f>
        <v>206250</v>
      </c>
    </row>
    <row r="132" spans="1:6" x14ac:dyDescent="0.25">
      <c r="A132" s="14"/>
      <c r="B132" s="20" t="s">
        <v>86</v>
      </c>
      <c r="C132" s="21" t="s">
        <v>7</v>
      </c>
      <c r="D132" s="22">
        <v>0.27500000000000002</v>
      </c>
      <c r="E132" s="18">
        <f>'HARGA BAHAN'!E5</f>
        <v>160000</v>
      </c>
      <c r="F132" s="19">
        <f>+D132*E132</f>
        <v>44000</v>
      </c>
    </row>
    <row r="133" spans="1:6" x14ac:dyDescent="0.25">
      <c r="A133" s="14"/>
      <c r="B133" s="15" t="s">
        <v>87</v>
      </c>
      <c r="C133" s="16" t="s">
        <v>7</v>
      </c>
      <c r="D133" s="17">
        <v>2.8000000000000001E-2</v>
      </c>
      <c r="E133" s="18">
        <f>'HARGA BAHAN'!E6</f>
        <v>180000</v>
      </c>
      <c r="F133" s="19">
        <f>+D133*E133</f>
        <v>5040</v>
      </c>
    </row>
    <row r="134" spans="1:6" ht="14.4" thickBot="1" x14ac:dyDescent="0.3">
      <c r="A134" s="24"/>
      <c r="B134" s="25" t="s">
        <v>42</v>
      </c>
      <c r="C134" s="26" t="s">
        <v>7</v>
      </c>
      <c r="D134" s="27">
        <v>8.3000000000000004E-2</v>
      </c>
      <c r="E134" s="18">
        <f>'HARGA BAHAN'!E7</f>
        <v>175000</v>
      </c>
      <c r="F134" s="19">
        <f>+D134*E134</f>
        <v>14525</v>
      </c>
    </row>
    <row r="135" spans="1:6" ht="14.4" thickBot="1" x14ac:dyDescent="0.3">
      <c r="A135" s="28"/>
      <c r="B135" s="29"/>
      <c r="C135" s="30"/>
      <c r="D135" s="31" t="s">
        <v>8</v>
      </c>
      <c r="E135" s="32"/>
      <c r="F135" s="33">
        <f>SUM(F131:F134)</f>
        <v>269815</v>
      </c>
    </row>
    <row r="136" spans="1:6" x14ac:dyDescent="0.25">
      <c r="A136" s="34" t="s">
        <v>9</v>
      </c>
      <c r="B136" s="35" t="s">
        <v>77</v>
      </c>
      <c r="C136" s="36"/>
      <c r="D136" s="36"/>
      <c r="E136" s="36"/>
      <c r="F136" s="37"/>
    </row>
    <row r="137" spans="1:6" x14ac:dyDescent="0.25">
      <c r="A137" s="38"/>
      <c r="B137" s="39" t="s">
        <v>85</v>
      </c>
      <c r="C137" s="40" t="s">
        <v>21</v>
      </c>
      <c r="D137" s="75">
        <v>371</v>
      </c>
      <c r="E137" s="42">
        <f>'HARGA BAHAN'!E13</f>
        <v>2000</v>
      </c>
      <c r="F137" s="43">
        <f>+D137*E137</f>
        <v>742000</v>
      </c>
    </row>
    <row r="138" spans="1:6" x14ac:dyDescent="0.25">
      <c r="A138" s="68"/>
      <c r="B138" s="20" t="s">
        <v>89</v>
      </c>
      <c r="C138" s="21" t="s">
        <v>21</v>
      </c>
      <c r="D138" s="76">
        <v>698</v>
      </c>
      <c r="E138" s="23">
        <f>'HARGA BAHAN'!E16</f>
        <v>150</v>
      </c>
      <c r="F138" s="19">
        <f>+D138*E138</f>
        <v>104700</v>
      </c>
    </row>
    <row r="139" spans="1:6" x14ac:dyDescent="0.25">
      <c r="A139" s="68"/>
      <c r="B139" s="20" t="s">
        <v>90</v>
      </c>
      <c r="C139" s="21" t="s">
        <v>21</v>
      </c>
      <c r="D139" s="76">
        <v>1047</v>
      </c>
      <c r="E139" s="23">
        <f>'HARGA BAHAN'!E18</f>
        <v>270</v>
      </c>
      <c r="F139" s="19">
        <f>+D139*E139</f>
        <v>282690</v>
      </c>
    </row>
    <row r="140" spans="1:6" ht="14.4" thickBot="1" x14ac:dyDescent="0.3">
      <c r="A140" s="14"/>
      <c r="B140" s="15" t="s">
        <v>92</v>
      </c>
      <c r="C140" s="16" t="s">
        <v>88</v>
      </c>
      <c r="D140" s="77">
        <v>215</v>
      </c>
      <c r="E140" s="18">
        <f>'HARGA BAHAN'!E19</f>
        <v>120</v>
      </c>
      <c r="F140" s="74">
        <f>+D140*E140</f>
        <v>25800</v>
      </c>
    </row>
    <row r="141" spans="1:6" ht="14.4" thickBot="1" x14ac:dyDescent="0.3">
      <c r="A141" s="28"/>
      <c r="B141" s="44"/>
      <c r="C141" s="44"/>
      <c r="D141" s="45" t="s">
        <v>10</v>
      </c>
      <c r="E141" s="44"/>
      <c r="F141" s="33">
        <f>SUM(F137:F140)</f>
        <v>1155190</v>
      </c>
    </row>
    <row r="142" spans="1:6" x14ac:dyDescent="0.25">
      <c r="A142" s="34" t="s">
        <v>11</v>
      </c>
      <c r="B142" s="35" t="s">
        <v>78</v>
      </c>
      <c r="C142" s="36"/>
      <c r="D142" s="36"/>
      <c r="E142" s="36"/>
      <c r="F142" s="37"/>
    </row>
    <row r="143" spans="1:6" ht="14.4" thickBot="1" x14ac:dyDescent="0.3">
      <c r="A143" s="46"/>
      <c r="B143" s="47"/>
      <c r="C143" s="48"/>
      <c r="D143" s="49"/>
      <c r="E143" s="50"/>
      <c r="F143" s="51"/>
    </row>
    <row r="144" spans="1:6" ht="14.4" thickBot="1" x14ac:dyDescent="0.3">
      <c r="A144" s="28"/>
      <c r="B144" s="29"/>
      <c r="C144" s="30"/>
      <c r="D144" s="31" t="s">
        <v>12</v>
      </c>
      <c r="E144" s="32"/>
      <c r="F144" s="33">
        <f>SUM(F143)</f>
        <v>0</v>
      </c>
    </row>
    <row r="145" spans="1:6" x14ac:dyDescent="0.25">
      <c r="A145" s="34" t="s">
        <v>13</v>
      </c>
      <c r="B145" s="35" t="s">
        <v>14</v>
      </c>
      <c r="C145" s="52"/>
      <c r="D145" s="52"/>
      <c r="E145" s="53"/>
      <c r="F145" s="54">
        <f>+F135+F141+F144</f>
        <v>1425005</v>
      </c>
    </row>
    <row r="146" spans="1:6" x14ac:dyDescent="0.25">
      <c r="A146" s="10" t="s">
        <v>15</v>
      </c>
      <c r="B146" s="11" t="s">
        <v>51</v>
      </c>
      <c r="C146" s="55"/>
      <c r="D146" s="55"/>
      <c r="E146" s="56"/>
      <c r="F146" s="57">
        <f>F145*15%</f>
        <v>213750.75</v>
      </c>
    </row>
    <row r="147" spans="1:6" ht="14.4" thickBot="1" x14ac:dyDescent="0.3">
      <c r="A147" s="58" t="s">
        <v>16</v>
      </c>
      <c r="B147" s="59" t="s">
        <v>17</v>
      </c>
      <c r="C147" s="60"/>
      <c r="D147" s="60"/>
      <c r="E147" s="61"/>
      <c r="F147" s="62">
        <f>SUM(F145:F146)</f>
        <v>1638755.75</v>
      </c>
    </row>
    <row r="149" spans="1:6" ht="14.4" thickBot="1" x14ac:dyDescent="0.3">
      <c r="A149" s="160" t="s">
        <v>330</v>
      </c>
      <c r="B149" s="161" t="s">
        <v>334</v>
      </c>
      <c r="C149" s="162"/>
      <c r="D149" s="162"/>
      <c r="E149" s="162"/>
      <c r="F149" s="162"/>
    </row>
    <row r="150" spans="1:6" ht="28.2" thickBot="1" x14ac:dyDescent="0.3">
      <c r="A150" s="163" t="s">
        <v>2</v>
      </c>
      <c r="B150" s="164" t="s">
        <v>3</v>
      </c>
      <c r="C150" s="164" t="s">
        <v>0</v>
      </c>
      <c r="D150" s="164" t="s">
        <v>4</v>
      </c>
      <c r="E150" s="164" t="s">
        <v>5</v>
      </c>
      <c r="F150" s="165" t="s">
        <v>6</v>
      </c>
    </row>
    <row r="151" spans="1:6" x14ac:dyDescent="0.25">
      <c r="A151" s="166">
        <v>1</v>
      </c>
      <c r="B151" s="167">
        <v>2</v>
      </c>
      <c r="C151" s="167">
        <v>3</v>
      </c>
      <c r="D151" s="167">
        <v>4</v>
      </c>
      <c r="E151" s="167">
        <v>5</v>
      </c>
      <c r="F151" s="168">
        <v>6</v>
      </c>
    </row>
    <row r="152" spans="1:6" x14ac:dyDescent="0.25">
      <c r="A152" s="169" t="s">
        <v>1</v>
      </c>
      <c r="B152" s="170" t="s">
        <v>76</v>
      </c>
      <c r="C152" s="171"/>
      <c r="D152" s="171"/>
      <c r="E152" s="171"/>
      <c r="F152" s="172"/>
    </row>
    <row r="153" spans="1:6" x14ac:dyDescent="0.25">
      <c r="A153" s="173"/>
      <c r="B153" s="174" t="s">
        <v>40</v>
      </c>
      <c r="C153" s="175" t="s">
        <v>7</v>
      </c>
      <c r="D153" s="176">
        <v>0.1</v>
      </c>
      <c r="E153" s="177">
        <f>'HARGA BAHAN'!E4</f>
        <v>125000</v>
      </c>
      <c r="F153" s="178">
        <f>+D153*E153</f>
        <v>12500</v>
      </c>
    </row>
    <row r="154" spans="1:6" x14ac:dyDescent="0.25">
      <c r="A154" s="173"/>
      <c r="B154" s="179" t="s">
        <v>332</v>
      </c>
      <c r="C154" s="180" t="s">
        <v>7</v>
      </c>
      <c r="D154" s="181">
        <v>0.1</v>
      </c>
      <c r="E154" s="177">
        <f>'HARGA BAHAN'!E5</f>
        <v>160000</v>
      </c>
      <c r="F154" s="178">
        <f>+D154*E154</f>
        <v>16000</v>
      </c>
    </row>
    <row r="155" spans="1:6" x14ac:dyDescent="0.25">
      <c r="A155" s="173"/>
      <c r="B155" s="174" t="s">
        <v>87</v>
      </c>
      <c r="C155" s="175" t="s">
        <v>7</v>
      </c>
      <c r="D155" s="176">
        <v>0.02</v>
      </c>
      <c r="E155" s="177">
        <f>'HARGA BAHAN'!E6</f>
        <v>180000</v>
      </c>
      <c r="F155" s="178">
        <f>+D155*E155</f>
        <v>3600</v>
      </c>
    </row>
    <row r="156" spans="1:6" ht="14.4" thickBot="1" x14ac:dyDescent="0.3">
      <c r="A156" s="182"/>
      <c r="B156" s="183" t="s">
        <v>42</v>
      </c>
      <c r="C156" s="184" t="s">
        <v>7</v>
      </c>
      <c r="D156" s="185">
        <v>0.01</v>
      </c>
      <c r="E156" s="177">
        <f>'HARGA BAHAN'!E7</f>
        <v>175000</v>
      </c>
      <c r="F156" s="178">
        <f>+D156*E156</f>
        <v>1750</v>
      </c>
    </row>
    <row r="157" spans="1:6" ht="14.4" thickBot="1" x14ac:dyDescent="0.3">
      <c r="A157" s="186"/>
      <c r="B157" s="187"/>
      <c r="C157" s="188"/>
      <c r="D157" s="189" t="s">
        <v>8</v>
      </c>
      <c r="E157" s="190"/>
      <c r="F157" s="191">
        <f>SUM(F153:F156)</f>
        <v>33850</v>
      </c>
    </row>
    <row r="158" spans="1:6" x14ac:dyDescent="0.25">
      <c r="A158" s="192" t="s">
        <v>9</v>
      </c>
      <c r="B158" s="193" t="s">
        <v>77</v>
      </c>
      <c r="C158" s="194"/>
      <c r="D158" s="194"/>
      <c r="E158" s="194"/>
      <c r="F158" s="195"/>
    </row>
    <row r="159" spans="1:6" x14ac:dyDescent="0.25">
      <c r="A159" s="196"/>
      <c r="B159" s="197" t="s">
        <v>331</v>
      </c>
      <c r="C159" s="198" t="s">
        <v>213</v>
      </c>
      <c r="D159" s="388">
        <v>3</v>
      </c>
      <c r="E159" s="200">
        <f>'HARGA BAHAN'!E14</f>
        <v>59000</v>
      </c>
      <c r="F159" s="201">
        <f>+D159*E159</f>
        <v>177000</v>
      </c>
    </row>
    <row r="160" spans="1:6" ht="14.4" thickBot="1" x14ac:dyDescent="0.3">
      <c r="A160" s="173"/>
      <c r="B160" s="174"/>
      <c r="C160" s="175"/>
      <c r="D160" s="176"/>
      <c r="E160" s="177"/>
      <c r="F160" s="383"/>
    </row>
    <row r="161" spans="1:6" ht="14.4" thickBot="1" x14ac:dyDescent="0.3">
      <c r="A161" s="186"/>
      <c r="B161" s="205"/>
      <c r="C161" s="205"/>
      <c r="D161" s="206" t="s">
        <v>10</v>
      </c>
      <c r="E161" s="205"/>
      <c r="F161" s="191">
        <f>SUM(F159:F160)</f>
        <v>177000</v>
      </c>
    </row>
    <row r="162" spans="1:6" x14ac:dyDescent="0.25">
      <c r="A162" s="192" t="s">
        <v>11</v>
      </c>
      <c r="B162" s="193" t="s">
        <v>78</v>
      </c>
      <c r="C162" s="194"/>
      <c r="D162" s="194"/>
      <c r="E162" s="194"/>
      <c r="F162" s="195"/>
    </row>
    <row r="163" spans="1:6" ht="14.4" thickBot="1" x14ac:dyDescent="0.3">
      <c r="A163" s="207"/>
      <c r="B163" s="208"/>
      <c r="C163" s="209"/>
      <c r="D163" s="210"/>
      <c r="E163" s="211"/>
      <c r="F163" s="212"/>
    </row>
    <row r="164" spans="1:6" ht="14.4" thickBot="1" x14ac:dyDescent="0.3">
      <c r="A164" s="186"/>
      <c r="B164" s="187"/>
      <c r="C164" s="188"/>
      <c r="D164" s="189" t="s">
        <v>12</v>
      </c>
      <c r="E164" s="190"/>
      <c r="F164" s="191">
        <f>SUM(F163)</f>
        <v>0</v>
      </c>
    </row>
    <row r="165" spans="1:6" x14ac:dyDescent="0.25">
      <c r="A165" s="192" t="s">
        <v>13</v>
      </c>
      <c r="B165" s="193" t="s">
        <v>14</v>
      </c>
      <c r="C165" s="213"/>
      <c r="D165" s="213"/>
      <c r="E165" s="214"/>
      <c r="F165" s="215">
        <f>+F157+F161+F164</f>
        <v>210850</v>
      </c>
    </row>
    <row r="166" spans="1:6" x14ac:dyDescent="0.25">
      <c r="A166" s="169" t="s">
        <v>15</v>
      </c>
      <c r="B166" s="170" t="s">
        <v>51</v>
      </c>
      <c r="C166" s="216"/>
      <c r="D166" s="216"/>
      <c r="E166" s="217"/>
      <c r="F166" s="218">
        <f>F165*15%</f>
        <v>31627.5</v>
      </c>
    </row>
    <row r="167" spans="1:6" ht="14.4" thickBot="1" x14ac:dyDescent="0.3">
      <c r="A167" s="219" t="s">
        <v>16</v>
      </c>
      <c r="B167" s="220" t="s">
        <v>17</v>
      </c>
      <c r="C167" s="221"/>
      <c r="D167" s="221"/>
      <c r="E167" s="222"/>
      <c r="F167" s="223">
        <f>SUM(F165:F166)</f>
        <v>242477.5</v>
      </c>
    </row>
    <row r="169" spans="1:6" ht="14.4" thickBot="1" x14ac:dyDescent="0.3">
      <c r="A169" s="160" t="s">
        <v>508</v>
      </c>
      <c r="B169" s="161" t="s">
        <v>509</v>
      </c>
      <c r="C169" s="162"/>
      <c r="D169" s="162"/>
      <c r="E169" s="162"/>
      <c r="F169" s="162"/>
    </row>
    <row r="170" spans="1:6" ht="28.2" thickBot="1" x14ac:dyDescent="0.3">
      <c r="A170" s="163" t="s">
        <v>2</v>
      </c>
      <c r="B170" s="164" t="s">
        <v>3</v>
      </c>
      <c r="C170" s="164" t="s">
        <v>0</v>
      </c>
      <c r="D170" s="164" t="s">
        <v>4</v>
      </c>
      <c r="E170" s="164" t="s">
        <v>5</v>
      </c>
      <c r="F170" s="165" t="s">
        <v>6</v>
      </c>
    </row>
    <row r="171" spans="1:6" x14ac:dyDescent="0.25">
      <c r="A171" s="166">
        <v>1</v>
      </c>
      <c r="B171" s="167">
        <v>2</v>
      </c>
      <c r="C171" s="167">
        <v>3</v>
      </c>
      <c r="D171" s="167">
        <v>4</v>
      </c>
      <c r="E171" s="167">
        <v>5</v>
      </c>
      <c r="F171" s="168">
        <v>6</v>
      </c>
    </row>
    <row r="172" spans="1:6" x14ac:dyDescent="0.25">
      <c r="A172" s="169" t="s">
        <v>1</v>
      </c>
      <c r="B172" s="170" t="s">
        <v>76</v>
      </c>
      <c r="C172" s="171"/>
      <c r="D172" s="171"/>
      <c r="E172" s="171"/>
      <c r="F172" s="172"/>
    </row>
    <row r="173" spans="1:6" x14ac:dyDescent="0.25">
      <c r="A173" s="173"/>
      <c r="B173" s="174" t="s">
        <v>40</v>
      </c>
      <c r="C173" s="175" t="s">
        <v>7</v>
      </c>
      <c r="D173" s="176">
        <v>4.2999999999999997E-2</v>
      </c>
      <c r="E173" s="177">
        <f>'HARGA BAHAN'!E4</f>
        <v>125000</v>
      </c>
      <c r="F173" s="178">
        <f>+D173*E173</f>
        <v>5375</v>
      </c>
    </row>
    <row r="174" spans="1:6" x14ac:dyDescent="0.25">
      <c r="A174" s="173"/>
      <c r="B174" s="179" t="s">
        <v>332</v>
      </c>
      <c r="C174" s="180" t="s">
        <v>7</v>
      </c>
      <c r="D174" s="181">
        <v>4.2999999999999997E-2</v>
      </c>
      <c r="E174" s="177">
        <f>'HARGA BAHAN'!E5</f>
        <v>160000</v>
      </c>
      <c r="F174" s="178">
        <f>+D174*E174</f>
        <v>6879.9999999999991</v>
      </c>
    </row>
    <row r="175" spans="1:6" x14ac:dyDescent="0.25">
      <c r="A175" s="173"/>
      <c r="B175" s="174" t="s">
        <v>87</v>
      </c>
      <c r="C175" s="175" t="s">
        <v>7</v>
      </c>
      <c r="D175" s="176">
        <v>4.3E-3</v>
      </c>
      <c r="E175" s="177">
        <f>'HARGA BAHAN'!E6</f>
        <v>180000</v>
      </c>
      <c r="F175" s="178">
        <f>+D175*E175</f>
        <v>774</v>
      </c>
    </row>
    <row r="176" spans="1:6" ht="14.4" thickBot="1" x14ac:dyDescent="0.3">
      <c r="A176" s="182"/>
      <c r="B176" s="183" t="s">
        <v>42</v>
      </c>
      <c r="C176" s="184" t="s">
        <v>7</v>
      </c>
      <c r="D176" s="185">
        <v>2.0999999999999999E-3</v>
      </c>
      <c r="E176" s="177">
        <f>'HARGA BAHAN'!E7</f>
        <v>175000</v>
      </c>
      <c r="F176" s="178">
        <f>+D176*E176</f>
        <v>367.5</v>
      </c>
    </row>
    <row r="177" spans="1:6" ht="14.4" thickBot="1" x14ac:dyDescent="0.3">
      <c r="A177" s="186"/>
      <c r="B177" s="187"/>
      <c r="C177" s="188"/>
      <c r="D177" s="189" t="s">
        <v>8</v>
      </c>
      <c r="E177" s="190"/>
      <c r="F177" s="191">
        <f>SUM(F173:F176)</f>
        <v>13396.5</v>
      </c>
    </row>
    <row r="178" spans="1:6" x14ac:dyDescent="0.25">
      <c r="A178" s="192" t="s">
        <v>9</v>
      </c>
      <c r="B178" s="193" t="s">
        <v>77</v>
      </c>
      <c r="C178" s="194"/>
      <c r="D178" s="194"/>
      <c r="E178" s="194"/>
      <c r="F178" s="195"/>
    </row>
    <row r="179" spans="1:6" x14ac:dyDescent="0.25">
      <c r="A179" s="196"/>
      <c r="B179" s="197" t="s">
        <v>510</v>
      </c>
      <c r="C179" s="198" t="s">
        <v>200</v>
      </c>
      <c r="D179" s="388">
        <v>1.1000000000000001</v>
      </c>
      <c r="E179" s="200">
        <f>'HARGA BAHAN'!E48</f>
        <v>120000</v>
      </c>
      <c r="F179" s="201">
        <f>+D179*E179</f>
        <v>132000</v>
      </c>
    </row>
    <row r="180" spans="1:6" x14ac:dyDescent="0.25">
      <c r="A180" s="202"/>
      <c r="B180" s="179" t="s">
        <v>511</v>
      </c>
      <c r="C180" s="180" t="s">
        <v>159</v>
      </c>
      <c r="D180" s="181">
        <v>2</v>
      </c>
      <c r="E180" s="204">
        <f>'HARGA BAHAN'!E49</f>
        <v>4000</v>
      </c>
      <c r="F180" s="178">
        <f>+D180*E180</f>
        <v>8000</v>
      </c>
    </row>
    <row r="181" spans="1:6" ht="14.4" thickBot="1" x14ac:dyDescent="0.3">
      <c r="A181" s="173"/>
      <c r="B181" s="174" t="s">
        <v>512</v>
      </c>
      <c r="C181" s="175" t="s">
        <v>213</v>
      </c>
      <c r="D181" s="176">
        <v>0.06</v>
      </c>
      <c r="E181" s="177">
        <f>'HARGA BAHAN'!E99</f>
        <v>150000</v>
      </c>
      <c r="F181" s="178">
        <f>+D181*E181</f>
        <v>9000</v>
      </c>
    </row>
    <row r="182" spans="1:6" ht="14.4" thickBot="1" x14ac:dyDescent="0.3">
      <c r="A182" s="186"/>
      <c r="B182" s="205"/>
      <c r="C182" s="205"/>
      <c r="D182" s="206" t="s">
        <v>10</v>
      </c>
      <c r="E182" s="205"/>
      <c r="F182" s="191">
        <f>SUM(F179:F181)</f>
        <v>149000</v>
      </c>
    </row>
    <row r="183" spans="1:6" x14ac:dyDescent="0.25">
      <c r="A183" s="192" t="s">
        <v>11</v>
      </c>
      <c r="B183" s="193" t="s">
        <v>78</v>
      </c>
      <c r="C183" s="194"/>
      <c r="D183" s="194"/>
      <c r="E183" s="194"/>
      <c r="F183" s="195"/>
    </row>
    <row r="184" spans="1:6" ht="14.4" thickBot="1" x14ac:dyDescent="0.3">
      <c r="A184" s="207"/>
      <c r="B184" s="208"/>
      <c r="C184" s="209"/>
      <c r="D184" s="210"/>
      <c r="E184" s="211"/>
      <c r="F184" s="212"/>
    </row>
    <row r="185" spans="1:6" ht="14.4" thickBot="1" x14ac:dyDescent="0.3">
      <c r="A185" s="186"/>
      <c r="B185" s="187"/>
      <c r="C185" s="188"/>
      <c r="D185" s="189" t="s">
        <v>12</v>
      </c>
      <c r="E185" s="190"/>
      <c r="F185" s="191">
        <f>SUM(F184)</f>
        <v>0</v>
      </c>
    </row>
    <row r="186" spans="1:6" x14ac:dyDescent="0.25">
      <c r="A186" s="192" t="s">
        <v>13</v>
      </c>
      <c r="B186" s="193" t="s">
        <v>14</v>
      </c>
      <c r="C186" s="213"/>
      <c r="D186" s="213"/>
      <c r="E186" s="214"/>
      <c r="F186" s="215">
        <f>+F177+F182+F185</f>
        <v>162396.5</v>
      </c>
    </row>
    <row r="187" spans="1:6" x14ac:dyDescent="0.25">
      <c r="A187" s="169" t="s">
        <v>15</v>
      </c>
      <c r="B187" s="170" t="s">
        <v>51</v>
      </c>
      <c r="C187" s="216"/>
      <c r="D187" s="216"/>
      <c r="E187" s="217"/>
      <c r="F187" s="218">
        <f>F186*15%</f>
        <v>24359.474999999999</v>
      </c>
    </row>
    <row r="188" spans="1:6" ht="14.4" thickBot="1" x14ac:dyDescent="0.3">
      <c r="A188" s="219" t="s">
        <v>16</v>
      </c>
      <c r="B188" s="220" t="s">
        <v>17</v>
      </c>
      <c r="C188" s="221"/>
      <c r="D188" s="221"/>
      <c r="E188" s="222"/>
      <c r="F188" s="223">
        <f>SUM(F186:F187)</f>
        <v>186755.97500000001</v>
      </c>
    </row>
    <row r="190" spans="1:6" ht="14.4" thickBot="1" x14ac:dyDescent="0.3">
      <c r="A190" s="71" t="s">
        <v>647</v>
      </c>
      <c r="B190" s="2" t="s">
        <v>652</v>
      </c>
      <c r="C190" s="3"/>
      <c r="D190" s="3"/>
      <c r="E190" s="3"/>
      <c r="F190" s="3"/>
    </row>
    <row r="191" spans="1:6" ht="28.2" thickBot="1" x14ac:dyDescent="0.3">
      <c r="A191" s="4" t="s">
        <v>2</v>
      </c>
      <c r="B191" s="5" t="s">
        <v>3</v>
      </c>
      <c r="C191" s="5" t="s">
        <v>0</v>
      </c>
      <c r="D191" s="5" t="s">
        <v>4</v>
      </c>
      <c r="E191" s="5" t="s">
        <v>5</v>
      </c>
      <c r="F191" s="6" t="s">
        <v>6</v>
      </c>
    </row>
    <row r="192" spans="1:6" x14ac:dyDescent="0.25">
      <c r="A192" s="7">
        <v>1</v>
      </c>
      <c r="B192" s="8">
        <v>2</v>
      </c>
      <c r="C192" s="8">
        <v>3</v>
      </c>
      <c r="D192" s="8">
        <v>4</v>
      </c>
      <c r="E192" s="8">
        <v>5</v>
      </c>
      <c r="F192" s="9">
        <v>6</v>
      </c>
    </row>
    <row r="193" spans="1:6" x14ac:dyDescent="0.25">
      <c r="A193" s="10" t="s">
        <v>1</v>
      </c>
      <c r="B193" s="11" t="s">
        <v>76</v>
      </c>
      <c r="C193" s="12"/>
      <c r="D193" s="12"/>
      <c r="E193" s="12"/>
      <c r="F193" s="13"/>
    </row>
    <row r="194" spans="1:6" x14ac:dyDescent="0.25">
      <c r="A194" s="14"/>
      <c r="B194" s="15" t="s">
        <v>40</v>
      </c>
      <c r="C194" s="16" t="s">
        <v>7</v>
      </c>
      <c r="D194" s="17">
        <v>1E-3</v>
      </c>
      <c r="E194" s="18">
        <f>'HARGA BAHAN'!E4</f>
        <v>125000</v>
      </c>
      <c r="F194" s="19">
        <f>+D194*E194</f>
        <v>125</v>
      </c>
    </row>
    <row r="195" spans="1:6" x14ac:dyDescent="0.25">
      <c r="A195" s="14"/>
      <c r="B195" s="20" t="s">
        <v>648</v>
      </c>
      <c r="C195" s="21" t="s">
        <v>7</v>
      </c>
      <c r="D195" s="22">
        <v>1E-3</v>
      </c>
      <c r="E195" s="18">
        <f>'HARGA BAHAN'!E5</f>
        <v>160000</v>
      </c>
      <c r="F195" s="19">
        <f>+D195*E195</f>
        <v>160</v>
      </c>
    </row>
    <row r="196" spans="1:6" x14ac:dyDescent="0.25">
      <c r="A196" s="14"/>
      <c r="B196" s="15" t="s">
        <v>87</v>
      </c>
      <c r="C196" s="16" t="s">
        <v>7</v>
      </c>
      <c r="D196" s="17">
        <v>1.0000000000000001E-5</v>
      </c>
      <c r="E196" s="18">
        <f>'HARGA BAHAN'!E6</f>
        <v>180000</v>
      </c>
      <c r="F196" s="19">
        <f>+D196*E196</f>
        <v>1.8</v>
      </c>
    </row>
    <row r="197" spans="1:6" ht="14.4" thickBot="1" x14ac:dyDescent="0.3">
      <c r="A197" s="24"/>
      <c r="B197" s="25" t="s">
        <v>42</v>
      </c>
      <c r="C197" s="26" t="s">
        <v>7</v>
      </c>
      <c r="D197" s="27">
        <v>5.0000000000000002E-5</v>
      </c>
      <c r="E197" s="18">
        <f>'HARGA BAHAN'!E7</f>
        <v>175000</v>
      </c>
      <c r="F197" s="19">
        <f>+D197*E197</f>
        <v>8.75</v>
      </c>
    </row>
    <row r="198" spans="1:6" ht="14.4" thickBot="1" x14ac:dyDescent="0.3">
      <c r="A198" s="28"/>
      <c r="B198" s="29"/>
      <c r="C198" s="30"/>
      <c r="D198" s="31" t="s">
        <v>8</v>
      </c>
      <c r="E198" s="32"/>
      <c r="F198" s="33">
        <f>SUM(F194:F197)</f>
        <v>295.55</v>
      </c>
    </row>
    <row r="199" spans="1:6" x14ac:dyDescent="0.25">
      <c r="A199" s="34" t="s">
        <v>9</v>
      </c>
      <c r="B199" s="35" t="s">
        <v>77</v>
      </c>
      <c r="C199" s="36"/>
      <c r="D199" s="36"/>
      <c r="E199" s="36"/>
      <c r="F199" s="37"/>
    </row>
    <row r="200" spans="1:6" x14ac:dyDescent="0.25">
      <c r="A200" s="38"/>
      <c r="B200" s="39" t="s">
        <v>649</v>
      </c>
      <c r="C200" s="40" t="s">
        <v>213</v>
      </c>
      <c r="D200" s="75">
        <v>1.1499999999999999</v>
      </c>
      <c r="E200" s="42">
        <f>'HARGA BAHAN'!E21</f>
        <v>19200</v>
      </c>
      <c r="F200" s="43">
        <f>+D200*E200</f>
        <v>22080</v>
      </c>
    </row>
    <row r="201" spans="1:6" x14ac:dyDescent="0.25">
      <c r="A201" s="68"/>
      <c r="B201" s="20" t="s">
        <v>650</v>
      </c>
      <c r="C201" s="21" t="s">
        <v>290</v>
      </c>
      <c r="D201" s="76">
        <v>0.01</v>
      </c>
      <c r="E201" s="23">
        <f>'HARGA BAHAN'!E93</f>
        <v>6800</v>
      </c>
      <c r="F201" s="19">
        <f>+D201*E201</f>
        <v>68</v>
      </c>
    </row>
    <row r="202" spans="1:6" ht="14.4" thickBot="1" x14ac:dyDescent="0.3">
      <c r="A202" s="68"/>
      <c r="B202" s="20" t="s">
        <v>651</v>
      </c>
      <c r="C202" s="21" t="s">
        <v>290</v>
      </c>
      <c r="D202" s="76">
        <v>1E-3</v>
      </c>
      <c r="E202" s="23">
        <f>'HARGA BAHAN'!E94</f>
        <v>68700</v>
      </c>
      <c r="F202" s="19">
        <f>+D202*E202</f>
        <v>68.7</v>
      </c>
    </row>
    <row r="203" spans="1:6" ht="14.4" thickBot="1" x14ac:dyDescent="0.3">
      <c r="A203" s="28"/>
      <c r="B203" s="44"/>
      <c r="C203" s="44"/>
      <c r="D203" s="45" t="s">
        <v>10</v>
      </c>
      <c r="E203" s="44"/>
      <c r="F203" s="33">
        <f>SUM(F200:F202)</f>
        <v>22216.7</v>
      </c>
    </row>
    <row r="204" spans="1:6" x14ac:dyDescent="0.25">
      <c r="A204" s="34" t="s">
        <v>11</v>
      </c>
      <c r="B204" s="35" t="s">
        <v>78</v>
      </c>
      <c r="C204" s="36"/>
      <c r="D204" s="36"/>
      <c r="E204" s="36"/>
      <c r="F204" s="37"/>
    </row>
    <row r="205" spans="1:6" ht="14.4" thickBot="1" x14ac:dyDescent="0.3">
      <c r="A205" s="46"/>
      <c r="B205" s="47"/>
      <c r="C205" s="48"/>
      <c r="D205" s="49"/>
      <c r="E205" s="50"/>
      <c r="F205" s="51"/>
    </row>
    <row r="206" spans="1:6" ht="14.4" thickBot="1" x14ac:dyDescent="0.3">
      <c r="A206" s="28"/>
      <c r="B206" s="29"/>
      <c r="C206" s="30"/>
      <c r="D206" s="31" t="s">
        <v>12</v>
      </c>
      <c r="E206" s="32"/>
      <c r="F206" s="33">
        <f>SUM(F205)</f>
        <v>0</v>
      </c>
    </row>
    <row r="207" spans="1:6" x14ac:dyDescent="0.25">
      <c r="A207" s="34" t="s">
        <v>13</v>
      </c>
      <c r="B207" s="35" t="s">
        <v>14</v>
      </c>
      <c r="C207" s="52"/>
      <c r="D207" s="52"/>
      <c r="E207" s="53"/>
      <c r="F207" s="54">
        <f>+F198+F203+F206</f>
        <v>22512.25</v>
      </c>
    </row>
    <row r="208" spans="1:6" x14ac:dyDescent="0.25">
      <c r="A208" s="10" t="s">
        <v>15</v>
      </c>
      <c r="B208" s="11" t="s">
        <v>51</v>
      </c>
      <c r="C208" s="55"/>
      <c r="D208" s="55"/>
      <c r="E208" s="56"/>
      <c r="F208" s="57">
        <f>F207*15%</f>
        <v>3376.8375000000001</v>
      </c>
    </row>
    <row r="209" spans="1:6" ht="14.4" thickBot="1" x14ac:dyDescent="0.3">
      <c r="A209" s="58" t="s">
        <v>16</v>
      </c>
      <c r="B209" s="59" t="s">
        <v>17</v>
      </c>
      <c r="C209" s="60"/>
      <c r="D209" s="60"/>
      <c r="E209" s="61"/>
      <c r="F209" s="62">
        <f>SUM(F207:F208)</f>
        <v>25889.087500000001</v>
      </c>
    </row>
    <row r="211" spans="1:6" x14ac:dyDescent="0.25">
      <c r="A211" s="71" t="s">
        <v>653</v>
      </c>
    </row>
    <row r="212" spans="1:6" ht="14.4" thickBot="1" x14ac:dyDescent="0.3">
      <c r="A212" s="71" t="s">
        <v>647</v>
      </c>
      <c r="B212" s="2" t="s">
        <v>654</v>
      </c>
      <c r="C212" s="3"/>
      <c r="D212" s="3"/>
      <c r="E212" s="3"/>
      <c r="F212" s="3"/>
    </row>
    <row r="213" spans="1:6" ht="28.2" thickBot="1" x14ac:dyDescent="0.3">
      <c r="A213" s="4" t="s">
        <v>2</v>
      </c>
      <c r="B213" s="5" t="s">
        <v>3</v>
      </c>
      <c r="C213" s="5" t="s">
        <v>0</v>
      </c>
      <c r="D213" s="5" t="s">
        <v>4</v>
      </c>
      <c r="E213" s="5" t="s">
        <v>5</v>
      </c>
      <c r="F213" s="6" t="s">
        <v>6</v>
      </c>
    </row>
    <row r="214" spans="1:6" x14ac:dyDescent="0.25">
      <c r="A214" s="7">
        <v>1</v>
      </c>
      <c r="B214" s="8">
        <v>2</v>
      </c>
      <c r="C214" s="8">
        <v>3</v>
      </c>
      <c r="D214" s="8">
        <v>4</v>
      </c>
      <c r="E214" s="8">
        <v>5</v>
      </c>
      <c r="F214" s="9">
        <v>6</v>
      </c>
    </row>
    <row r="215" spans="1:6" x14ac:dyDescent="0.25">
      <c r="A215" s="10" t="s">
        <v>1</v>
      </c>
      <c r="B215" s="11" t="s">
        <v>76</v>
      </c>
      <c r="C215" s="12"/>
      <c r="D215" s="12"/>
      <c r="E215" s="12"/>
      <c r="F215" s="13"/>
    </row>
    <row r="216" spans="1:6" x14ac:dyDescent="0.25">
      <c r="A216" s="14"/>
      <c r="B216" s="15" t="s">
        <v>40</v>
      </c>
      <c r="C216" s="16" t="s">
        <v>7</v>
      </c>
      <c r="D216" s="17">
        <v>4.1000000000000002E-2</v>
      </c>
      <c r="E216" s="18">
        <f>'HARGA BAHAN'!E4</f>
        <v>125000</v>
      </c>
      <c r="F216" s="19">
        <f>+D216*E216</f>
        <v>5125</v>
      </c>
    </row>
    <row r="217" spans="1:6" x14ac:dyDescent="0.25">
      <c r="A217" s="14"/>
      <c r="B217" s="20" t="s">
        <v>648</v>
      </c>
      <c r="C217" s="21" t="s">
        <v>7</v>
      </c>
      <c r="D217" s="22">
        <v>4.1000000000000002E-2</v>
      </c>
      <c r="E217" s="18">
        <f>'HARGA BAHAN'!E5</f>
        <v>160000</v>
      </c>
      <c r="F217" s="19">
        <f>+D217*E217</f>
        <v>6560</v>
      </c>
    </row>
    <row r="218" spans="1:6" x14ac:dyDescent="0.25">
      <c r="A218" s="14"/>
      <c r="B218" s="15" t="s">
        <v>87</v>
      </c>
      <c r="C218" s="16" t="s">
        <v>7</v>
      </c>
      <c r="D218" s="17">
        <v>4.1000000000000003E-3</v>
      </c>
      <c r="E218" s="18">
        <f>'HARGA BAHAN'!E6</f>
        <v>180000</v>
      </c>
      <c r="F218" s="19">
        <f>+D218*E218</f>
        <v>738.00000000000011</v>
      </c>
    </row>
    <row r="219" spans="1:6" ht="14.4" thickBot="1" x14ac:dyDescent="0.3">
      <c r="A219" s="24"/>
      <c r="B219" s="25" t="s">
        <v>42</v>
      </c>
      <c r="C219" s="26" t="s">
        <v>7</v>
      </c>
      <c r="D219" s="27">
        <v>2.0500000000000002E-3</v>
      </c>
      <c r="E219" s="18">
        <f>'HARGA BAHAN'!E7</f>
        <v>175000</v>
      </c>
      <c r="F219" s="19">
        <f>+D219*E219</f>
        <v>358.75000000000006</v>
      </c>
    </row>
    <row r="220" spans="1:6" ht="14.4" thickBot="1" x14ac:dyDescent="0.3">
      <c r="A220" s="28"/>
      <c r="B220" s="29"/>
      <c r="C220" s="30"/>
      <c r="D220" s="31" t="s">
        <v>8</v>
      </c>
      <c r="E220" s="32"/>
      <c r="F220" s="33">
        <f>SUM(F216:F219)</f>
        <v>12781.75</v>
      </c>
    </row>
    <row r="221" spans="1:6" x14ac:dyDescent="0.25">
      <c r="A221" s="34" t="s">
        <v>9</v>
      </c>
      <c r="B221" s="35" t="s">
        <v>77</v>
      </c>
      <c r="C221" s="36"/>
      <c r="D221" s="36"/>
      <c r="E221" s="36"/>
      <c r="F221" s="37"/>
    </row>
    <row r="222" spans="1:6" x14ac:dyDescent="0.25">
      <c r="A222" s="38"/>
      <c r="B222" s="39" t="s">
        <v>659</v>
      </c>
      <c r="C222" s="40" t="s">
        <v>213</v>
      </c>
      <c r="D222" s="75">
        <v>1.1499999999999999</v>
      </c>
      <c r="E222" s="42">
        <f>'HARGA BAHAN'!E21</f>
        <v>19200</v>
      </c>
      <c r="F222" s="43">
        <f>+D222*E222</f>
        <v>22080</v>
      </c>
    </row>
    <row r="223" spans="1:6" x14ac:dyDescent="0.25">
      <c r="A223" s="68"/>
      <c r="B223" s="20" t="s">
        <v>650</v>
      </c>
      <c r="C223" s="21" t="s">
        <v>290</v>
      </c>
      <c r="D223" s="76">
        <v>0.35</v>
      </c>
      <c r="E223" s="23">
        <f>'HARGA BAHAN'!E93</f>
        <v>6800</v>
      </c>
      <c r="F223" s="19">
        <f>+D223*E223</f>
        <v>2380</v>
      </c>
    </row>
    <row r="224" spans="1:6" ht="14.4" thickBot="1" x14ac:dyDescent="0.3">
      <c r="A224" s="68"/>
      <c r="B224" s="20" t="s">
        <v>651</v>
      </c>
      <c r="C224" s="21" t="s">
        <v>290</v>
      </c>
      <c r="D224" s="76">
        <v>3.5000000000000003E-2</v>
      </c>
      <c r="E224" s="23">
        <f>'HARGA BAHAN'!E94</f>
        <v>68700</v>
      </c>
      <c r="F224" s="19">
        <f>+D224*E224</f>
        <v>2404.5000000000005</v>
      </c>
    </row>
    <row r="225" spans="1:6" ht="14.4" thickBot="1" x14ac:dyDescent="0.3">
      <c r="A225" s="28"/>
      <c r="B225" s="44"/>
      <c r="C225" s="44"/>
      <c r="D225" s="45" t="s">
        <v>10</v>
      </c>
      <c r="E225" s="44"/>
      <c r="F225" s="33">
        <f>SUM(F222:F224)</f>
        <v>26864.5</v>
      </c>
    </row>
    <row r="226" spans="1:6" x14ac:dyDescent="0.25">
      <c r="A226" s="34" t="s">
        <v>11</v>
      </c>
      <c r="B226" s="35" t="s">
        <v>78</v>
      </c>
      <c r="C226" s="36"/>
      <c r="D226" s="36"/>
      <c r="E226" s="36"/>
      <c r="F226" s="37"/>
    </row>
    <row r="227" spans="1:6" ht="14.4" thickBot="1" x14ac:dyDescent="0.3">
      <c r="A227" s="46"/>
      <c r="B227" s="47"/>
      <c r="C227" s="48"/>
      <c r="D227" s="49"/>
      <c r="E227" s="50"/>
      <c r="F227" s="51"/>
    </row>
    <row r="228" spans="1:6" ht="14.4" thickBot="1" x14ac:dyDescent="0.3">
      <c r="A228" s="28"/>
      <c r="B228" s="29"/>
      <c r="C228" s="30"/>
      <c r="D228" s="31" t="s">
        <v>12</v>
      </c>
      <c r="E228" s="32"/>
      <c r="F228" s="33">
        <f>SUM(F227)</f>
        <v>0</v>
      </c>
    </row>
    <row r="229" spans="1:6" x14ac:dyDescent="0.25">
      <c r="A229" s="34" t="s">
        <v>13</v>
      </c>
      <c r="B229" s="35" t="s">
        <v>14</v>
      </c>
      <c r="C229" s="52"/>
      <c r="D229" s="52"/>
      <c r="E229" s="53"/>
      <c r="F229" s="54">
        <f>+F220+F225+F228</f>
        <v>39646.25</v>
      </c>
    </row>
    <row r="230" spans="1:6" x14ac:dyDescent="0.25">
      <c r="A230" s="10" t="s">
        <v>15</v>
      </c>
      <c r="B230" s="11" t="s">
        <v>51</v>
      </c>
      <c r="C230" s="55"/>
      <c r="D230" s="55"/>
      <c r="E230" s="56"/>
      <c r="F230" s="57">
        <f>F229*15%</f>
        <v>5946.9375</v>
      </c>
    </row>
    <row r="231" spans="1:6" ht="14.4" thickBot="1" x14ac:dyDescent="0.3">
      <c r="A231" s="58" t="s">
        <v>16</v>
      </c>
      <c r="B231" s="59" t="s">
        <v>17</v>
      </c>
      <c r="C231" s="60"/>
      <c r="D231" s="60"/>
      <c r="E231" s="61"/>
      <c r="F231" s="62">
        <f>SUM(F229:F230)</f>
        <v>45593.1875</v>
      </c>
    </row>
    <row r="233" spans="1:6" ht="16.2" thickBot="1" x14ac:dyDescent="0.3">
      <c r="A233" s="71" t="s">
        <v>66</v>
      </c>
      <c r="B233" s="2" t="s">
        <v>107</v>
      </c>
      <c r="C233" s="3"/>
      <c r="D233" s="3"/>
      <c r="E233" s="3"/>
      <c r="F233" s="3"/>
    </row>
    <row r="234" spans="1:6" ht="28.2" thickBot="1" x14ac:dyDescent="0.3">
      <c r="A234" s="4" t="s">
        <v>2</v>
      </c>
      <c r="B234" s="5" t="s">
        <v>3</v>
      </c>
      <c r="C234" s="5" t="s">
        <v>0</v>
      </c>
      <c r="D234" s="5" t="s">
        <v>4</v>
      </c>
      <c r="E234" s="5" t="s">
        <v>5</v>
      </c>
      <c r="F234" s="6" t="s">
        <v>6</v>
      </c>
    </row>
    <row r="235" spans="1:6" x14ac:dyDescent="0.25">
      <c r="A235" s="7">
        <v>1</v>
      </c>
      <c r="B235" s="8">
        <v>2</v>
      </c>
      <c r="C235" s="8">
        <v>3</v>
      </c>
      <c r="D235" s="8">
        <v>4</v>
      </c>
      <c r="E235" s="8">
        <v>5</v>
      </c>
      <c r="F235" s="9">
        <v>6</v>
      </c>
    </row>
    <row r="236" spans="1:6" x14ac:dyDescent="0.25">
      <c r="A236" s="10" t="s">
        <v>1</v>
      </c>
      <c r="B236" s="11" t="s">
        <v>76</v>
      </c>
      <c r="C236" s="12"/>
      <c r="D236" s="12"/>
      <c r="E236" s="12"/>
      <c r="F236" s="13"/>
    </row>
    <row r="237" spans="1:6" x14ac:dyDescent="0.25">
      <c r="A237" s="14"/>
      <c r="B237" s="15" t="s">
        <v>40</v>
      </c>
      <c r="C237" s="16" t="s">
        <v>7</v>
      </c>
      <c r="D237" s="17">
        <v>0.3</v>
      </c>
      <c r="E237" s="18">
        <f>'HARGA BAHAN'!E4</f>
        <v>125000</v>
      </c>
      <c r="F237" s="19">
        <f>+D237*E237</f>
        <v>37500</v>
      </c>
    </row>
    <row r="238" spans="1:6" x14ac:dyDescent="0.25">
      <c r="A238" s="14"/>
      <c r="B238" s="20" t="s">
        <v>86</v>
      </c>
      <c r="C238" s="21" t="s">
        <v>7</v>
      </c>
      <c r="D238" s="22">
        <v>0.1</v>
      </c>
      <c r="E238" s="18">
        <f>'HARGA BAHAN'!E5</f>
        <v>160000</v>
      </c>
      <c r="F238" s="19">
        <f>+D238*E238</f>
        <v>16000</v>
      </c>
    </row>
    <row r="239" spans="1:6" x14ac:dyDescent="0.25">
      <c r="A239" s="14"/>
      <c r="B239" s="15" t="s">
        <v>87</v>
      </c>
      <c r="C239" s="16" t="s">
        <v>7</v>
      </c>
      <c r="D239" s="17">
        <v>0.01</v>
      </c>
      <c r="E239" s="18">
        <f>'HARGA BAHAN'!E6</f>
        <v>180000</v>
      </c>
      <c r="F239" s="19">
        <f>+D239*E239</f>
        <v>1800</v>
      </c>
    </row>
    <row r="240" spans="1:6" ht="14.4" thickBot="1" x14ac:dyDescent="0.3">
      <c r="A240" s="24"/>
      <c r="B240" s="25" t="s">
        <v>42</v>
      </c>
      <c r="C240" s="26" t="s">
        <v>7</v>
      </c>
      <c r="D240" s="27">
        <v>1.4999999999999999E-2</v>
      </c>
      <c r="E240" s="18">
        <f>'HARGA BAHAN'!E7</f>
        <v>175000</v>
      </c>
      <c r="F240" s="19">
        <f>+D240*E240</f>
        <v>2625</v>
      </c>
    </row>
    <row r="241" spans="1:6" ht="14.4" thickBot="1" x14ac:dyDescent="0.3">
      <c r="A241" s="28"/>
      <c r="B241" s="29"/>
      <c r="C241" s="30"/>
      <c r="D241" s="31" t="s">
        <v>8</v>
      </c>
      <c r="E241" s="32"/>
      <c r="F241" s="33">
        <f>SUM(F237:F240)</f>
        <v>57925</v>
      </c>
    </row>
    <row r="242" spans="1:6" x14ac:dyDescent="0.25">
      <c r="A242" s="34" t="s">
        <v>9</v>
      </c>
      <c r="B242" s="35" t="s">
        <v>77</v>
      </c>
      <c r="C242" s="36"/>
      <c r="D242" s="36"/>
      <c r="E242" s="36"/>
      <c r="F242" s="37"/>
    </row>
    <row r="243" spans="1:6" x14ac:dyDescent="0.25">
      <c r="A243" s="38"/>
      <c r="B243" s="39" t="s">
        <v>105</v>
      </c>
      <c r="C243" s="40" t="s">
        <v>20</v>
      </c>
      <c r="D243" s="75">
        <v>70</v>
      </c>
      <c r="E243" s="42">
        <f>'HARGA BAHAN'!E31</f>
        <v>1000</v>
      </c>
      <c r="F243" s="43">
        <f>+D243*E243</f>
        <v>70000</v>
      </c>
    </row>
    <row r="244" spans="1:6" x14ac:dyDescent="0.25">
      <c r="A244" s="68"/>
      <c r="B244" s="20" t="s">
        <v>85</v>
      </c>
      <c r="C244" s="21" t="s">
        <v>21</v>
      </c>
      <c r="D244" s="76">
        <v>18.95</v>
      </c>
      <c r="E244" s="23">
        <f>'HARGA BAHAN'!E13</f>
        <v>2000</v>
      </c>
      <c r="F244" s="19">
        <f>+D244*E244</f>
        <v>37900</v>
      </c>
    </row>
    <row r="245" spans="1:6" ht="16.2" thickBot="1" x14ac:dyDescent="0.3">
      <c r="A245" s="68"/>
      <c r="B245" s="20" t="s">
        <v>106</v>
      </c>
      <c r="C245" s="21" t="s">
        <v>24</v>
      </c>
      <c r="D245" s="76">
        <v>3.7999999999999999E-2</v>
      </c>
      <c r="E245" s="23">
        <f>'HARGA BAHAN'!E15</f>
        <v>210000</v>
      </c>
      <c r="F245" s="19">
        <f>+D245*E245</f>
        <v>7980</v>
      </c>
    </row>
    <row r="246" spans="1:6" ht="14.4" thickBot="1" x14ac:dyDescent="0.3">
      <c r="A246" s="28"/>
      <c r="B246" s="44"/>
      <c r="C246" s="44"/>
      <c r="D246" s="45" t="s">
        <v>10</v>
      </c>
      <c r="E246" s="44"/>
      <c r="F246" s="33">
        <f>SUM(F243:F245)</f>
        <v>115880</v>
      </c>
    </row>
    <row r="247" spans="1:6" x14ac:dyDescent="0.25">
      <c r="A247" s="34" t="s">
        <v>11</v>
      </c>
      <c r="B247" s="35" t="s">
        <v>78</v>
      </c>
      <c r="C247" s="36"/>
      <c r="D247" s="36"/>
      <c r="E247" s="36"/>
      <c r="F247" s="37"/>
    </row>
    <row r="248" spans="1:6" ht="14.4" thickBot="1" x14ac:dyDescent="0.3">
      <c r="A248" s="46"/>
      <c r="B248" s="47"/>
      <c r="C248" s="48"/>
      <c r="D248" s="49"/>
      <c r="E248" s="50"/>
      <c r="F248" s="51"/>
    </row>
    <row r="249" spans="1:6" ht="14.4" thickBot="1" x14ac:dyDescent="0.3">
      <c r="A249" s="28"/>
      <c r="B249" s="29"/>
      <c r="C249" s="30"/>
      <c r="D249" s="31" t="s">
        <v>12</v>
      </c>
      <c r="E249" s="32"/>
      <c r="F249" s="33">
        <f>SUM(F248)</f>
        <v>0</v>
      </c>
    </row>
    <row r="250" spans="1:6" x14ac:dyDescent="0.25">
      <c r="A250" s="34" t="s">
        <v>13</v>
      </c>
      <c r="B250" s="35" t="s">
        <v>14</v>
      </c>
      <c r="C250" s="52"/>
      <c r="D250" s="52"/>
      <c r="E250" s="53"/>
      <c r="F250" s="54">
        <f>+F241+F246+F249</f>
        <v>173805</v>
      </c>
    </row>
    <row r="251" spans="1:6" x14ac:dyDescent="0.25">
      <c r="A251" s="10" t="s">
        <v>15</v>
      </c>
      <c r="B251" s="11" t="s">
        <v>51</v>
      </c>
      <c r="C251" s="55"/>
      <c r="D251" s="55"/>
      <c r="E251" s="56"/>
      <c r="F251" s="57">
        <f>F250*15%</f>
        <v>26070.75</v>
      </c>
    </row>
    <row r="252" spans="1:6" ht="14.4" thickBot="1" x14ac:dyDescent="0.3">
      <c r="A252" s="58" t="s">
        <v>16</v>
      </c>
      <c r="B252" s="59" t="s">
        <v>17</v>
      </c>
      <c r="C252" s="60"/>
      <c r="D252" s="60"/>
      <c r="E252" s="61"/>
      <c r="F252" s="62">
        <f>SUM(F250:F251)</f>
        <v>199875.75</v>
      </c>
    </row>
    <row r="254" spans="1:6" ht="16.2" thickBot="1" x14ac:dyDescent="0.3">
      <c r="A254" s="71" t="s">
        <v>454</v>
      </c>
      <c r="B254" s="2" t="s">
        <v>455</v>
      </c>
      <c r="C254" s="3"/>
      <c r="D254" s="3"/>
      <c r="E254" s="3"/>
      <c r="F254" s="3"/>
    </row>
    <row r="255" spans="1:6" ht="28.2" thickBot="1" x14ac:dyDescent="0.3">
      <c r="A255" s="4" t="s">
        <v>2</v>
      </c>
      <c r="B255" s="5" t="s">
        <v>3</v>
      </c>
      <c r="C255" s="5" t="s">
        <v>0</v>
      </c>
      <c r="D255" s="5" t="s">
        <v>4</v>
      </c>
      <c r="E255" s="5" t="s">
        <v>5</v>
      </c>
      <c r="F255" s="6" t="s">
        <v>6</v>
      </c>
    </row>
    <row r="256" spans="1:6" x14ac:dyDescent="0.25">
      <c r="A256" s="7">
        <v>1</v>
      </c>
      <c r="B256" s="8">
        <v>2</v>
      </c>
      <c r="C256" s="8">
        <v>3</v>
      </c>
      <c r="D256" s="8">
        <v>4</v>
      </c>
      <c r="E256" s="8">
        <v>5</v>
      </c>
      <c r="F256" s="9">
        <v>6</v>
      </c>
    </row>
    <row r="257" spans="1:6" x14ac:dyDescent="0.25">
      <c r="A257" s="10" t="s">
        <v>1</v>
      </c>
      <c r="B257" s="11" t="s">
        <v>76</v>
      </c>
      <c r="C257" s="12"/>
      <c r="D257" s="12"/>
      <c r="E257" s="12"/>
      <c r="F257" s="13"/>
    </row>
    <row r="258" spans="1:6" x14ac:dyDescent="0.25">
      <c r="A258" s="14"/>
      <c r="B258" s="15" t="s">
        <v>40</v>
      </c>
      <c r="C258" s="16" t="s">
        <v>7</v>
      </c>
      <c r="D258" s="17">
        <v>0.3</v>
      </c>
      <c r="E258" s="18">
        <f>'HARGA BAHAN'!E4</f>
        <v>125000</v>
      </c>
      <c r="F258" s="19">
        <f>+D258*E258</f>
        <v>37500</v>
      </c>
    </row>
    <row r="259" spans="1:6" x14ac:dyDescent="0.25">
      <c r="A259" s="14"/>
      <c r="B259" s="20" t="s">
        <v>86</v>
      </c>
      <c r="C259" s="21" t="s">
        <v>7</v>
      </c>
      <c r="D259" s="22">
        <v>0.1</v>
      </c>
      <c r="E259" s="18">
        <f>'HARGA BAHAN'!E5</f>
        <v>160000</v>
      </c>
      <c r="F259" s="19">
        <f>+D259*E259</f>
        <v>16000</v>
      </c>
    </row>
    <row r="260" spans="1:6" x14ac:dyDescent="0.25">
      <c r="A260" s="14"/>
      <c r="B260" s="15" t="s">
        <v>87</v>
      </c>
      <c r="C260" s="16" t="s">
        <v>7</v>
      </c>
      <c r="D260" s="17">
        <v>0.01</v>
      </c>
      <c r="E260" s="18">
        <f>'HARGA BAHAN'!E6</f>
        <v>180000</v>
      </c>
      <c r="F260" s="19">
        <f>+D260*E260</f>
        <v>1800</v>
      </c>
    </row>
    <row r="261" spans="1:6" ht="14.4" thickBot="1" x14ac:dyDescent="0.3">
      <c r="A261" s="24"/>
      <c r="B261" s="25" t="s">
        <v>42</v>
      </c>
      <c r="C261" s="26" t="s">
        <v>7</v>
      </c>
      <c r="D261" s="27">
        <v>1.4999999999999999E-2</v>
      </c>
      <c r="E261" s="18">
        <f>'HARGA BAHAN'!E7</f>
        <v>175000</v>
      </c>
      <c r="F261" s="19">
        <f>+D261*E261</f>
        <v>2625</v>
      </c>
    </row>
    <row r="262" spans="1:6" ht="14.4" thickBot="1" x14ac:dyDescent="0.3">
      <c r="A262" s="28"/>
      <c r="B262" s="29"/>
      <c r="C262" s="30"/>
      <c r="D262" s="31" t="s">
        <v>8</v>
      </c>
      <c r="E262" s="32"/>
      <c r="F262" s="33">
        <f>SUM(F258:F261)</f>
        <v>57925</v>
      </c>
    </row>
    <row r="263" spans="1:6" x14ac:dyDescent="0.25">
      <c r="A263" s="34" t="s">
        <v>9</v>
      </c>
      <c r="B263" s="35" t="s">
        <v>77</v>
      </c>
      <c r="C263" s="36"/>
      <c r="D263" s="36"/>
      <c r="E263" s="36"/>
      <c r="F263" s="37"/>
    </row>
    <row r="264" spans="1:6" x14ac:dyDescent="0.25">
      <c r="A264" s="38"/>
      <c r="B264" s="39" t="s">
        <v>105</v>
      </c>
      <c r="C264" s="40" t="s">
        <v>20</v>
      </c>
      <c r="D264" s="75">
        <v>70</v>
      </c>
      <c r="E264" s="42">
        <f>'HARGA BAHAN'!E31</f>
        <v>1000</v>
      </c>
      <c r="F264" s="43">
        <f>+D264*E264</f>
        <v>70000</v>
      </c>
    </row>
    <row r="265" spans="1:6" x14ac:dyDescent="0.25">
      <c r="A265" s="68"/>
      <c r="B265" s="20" t="s">
        <v>85</v>
      </c>
      <c r="C265" s="21" t="s">
        <v>21</v>
      </c>
      <c r="D265" s="76">
        <v>11.5</v>
      </c>
      <c r="E265" s="23">
        <f>'HARGA BAHAN'!E13</f>
        <v>2000</v>
      </c>
      <c r="F265" s="19">
        <f>+D265*E265</f>
        <v>23000</v>
      </c>
    </row>
    <row r="266" spans="1:6" ht="16.2" thickBot="1" x14ac:dyDescent="0.3">
      <c r="A266" s="68"/>
      <c r="B266" s="20" t="s">
        <v>106</v>
      </c>
      <c r="C266" s="21" t="s">
        <v>24</v>
      </c>
      <c r="D266" s="76">
        <v>4.2999999999999997E-2</v>
      </c>
      <c r="E266" s="23">
        <f>'HARGA BAHAN'!E15</f>
        <v>210000</v>
      </c>
      <c r="F266" s="19">
        <f>+D266*E266</f>
        <v>9030</v>
      </c>
    </row>
    <row r="267" spans="1:6" ht="14.4" thickBot="1" x14ac:dyDescent="0.3">
      <c r="A267" s="28"/>
      <c r="B267" s="44"/>
      <c r="C267" s="44"/>
      <c r="D267" s="45" t="s">
        <v>10</v>
      </c>
      <c r="E267" s="44"/>
      <c r="F267" s="33">
        <f>SUM(F264:F266)</f>
        <v>102030</v>
      </c>
    </row>
    <row r="268" spans="1:6" x14ac:dyDescent="0.25">
      <c r="A268" s="34" t="s">
        <v>11</v>
      </c>
      <c r="B268" s="35" t="s">
        <v>78</v>
      </c>
      <c r="C268" s="36"/>
      <c r="D268" s="36"/>
      <c r="E268" s="36"/>
      <c r="F268" s="37"/>
    </row>
    <row r="269" spans="1:6" ht="14.4" thickBot="1" x14ac:dyDescent="0.3">
      <c r="A269" s="46"/>
      <c r="B269" s="47"/>
      <c r="C269" s="48"/>
      <c r="D269" s="49"/>
      <c r="E269" s="50"/>
      <c r="F269" s="51"/>
    </row>
    <row r="270" spans="1:6" ht="14.4" thickBot="1" x14ac:dyDescent="0.3">
      <c r="A270" s="28"/>
      <c r="B270" s="29"/>
      <c r="C270" s="30"/>
      <c r="D270" s="31" t="s">
        <v>12</v>
      </c>
      <c r="E270" s="32"/>
      <c r="F270" s="33">
        <f>SUM(F269)</f>
        <v>0</v>
      </c>
    </row>
    <row r="271" spans="1:6" x14ac:dyDescent="0.25">
      <c r="A271" s="34" t="s">
        <v>13</v>
      </c>
      <c r="B271" s="35" t="s">
        <v>14</v>
      </c>
      <c r="C271" s="52"/>
      <c r="D271" s="52"/>
      <c r="E271" s="53"/>
      <c r="F271" s="54">
        <f>+F262+F267+F270</f>
        <v>159955</v>
      </c>
    </row>
    <row r="272" spans="1:6" x14ac:dyDescent="0.25">
      <c r="A272" s="10" t="s">
        <v>15</v>
      </c>
      <c r="B272" s="11" t="s">
        <v>51</v>
      </c>
      <c r="C272" s="55"/>
      <c r="D272" s="55"/>
      <c r="E272" s="56"/>
      <c r="F272" s="57">
        <f>F271*15%</f>
        <v>23993.25</v>
      </c>
    </row>
    <row r="273" spans="1:6" ht="14.4" thickBot="1" x14ac:dyDescent="0.3">
      <c r="A273" s="58" t="s">
        <v>16</v>
      </c>
      <c r="B273" s="59" t="s">
        <v>17</v>
      </c>
      <c r="C273" s="60"/>
      <c r="D273" s="60"/>
      <c r="E273" s="61"/>
      <c r="F273" s="62">
        <f>SUM(F271:F272)</f>
        <v>183948.25</v>
      </c>
    </row>
    <row r="275" spans="1:6" ht="16.2" thickBot="1" x14ac:dyDescent="0.3">
      <c r="A275" s="155" t="s">
        <v>170</v>
      </c>
      <c r="B275" s="2" t="s">
        <v>464</v>
      </c>
      <c r="C275" s="3"/>
      <c r="D275" s="3"/>
      <c r="E275" s="3"/>
      <c r="F275" s="3"/>
    </row>
    <row r="276" spans="1:6" ht="28.2" thickBot="1" x14ac:dyDescent="0.3">
      <c r="A276" s="4" t="s">
        <v>2</v>
      </c>
      <c r="B276" s="5" t="s">
        <v>3</v>
      </c>
      <c r="C276" s="5" t="s">
        <v>0</v>
      </c>
      <c r="D276" s="5" t="s">
        <v>4</v>
      </c>
      <c r="E276" s="5" t="s">
        <v>5</v>
      </c>
      <c r="F276" s="6" t="s">
        <v>6</v>
      </c>
    </row>
    <row r="277" spans="1:6" x14ac:dyDescent="0.25">
      <c r="A277" s="7">
        <v>1</v>
      </c>
      <c r="B277" s="8">
        <v>2</v>
      </c>
      <c r="C277" s="8">
        <v>3</v>
      </c>
      <c r="D277" s="8">
        <v>4</v>
      </c>
      <c r="E277" s="8">
        <v>5</v>
      </c>
      <c r="F277" s="9">
        <v>6</v>
      </c>
    </row>
    <row r="278" spans="1:6" x14ac:dyDescent="0.25">
      <c r="A278" s="10" t="s">
        <v>1</v>
      </c>
      <c r="B278" s="11" t="s">
        <v>76</v>
      </c>
      <c r="C278" s="12"/>
      <c r="D278" s="12"/>
      <c r="E278" s="12"/>
      <c r="F278" s="13"/>
    </row>
    <row r="279" spans="1:6" x14ac:dyDescent="0.25">
      <c r="A279" s="14"/>
      <c r="B279" s="15" t="s">
        <v>40</v>
      </c>
      <c r="C279" s="16" t="s">
        <v>7</v>
      </c>
      <c r="D279" s="17">
        <v>0.37</v>
      </c>
      <c r="E279" s="18">
        <f>'HARGA BAHAN'!E4</f>
        <v>125000</v>
      </c>
      <c r="F279" s="19">
        <f>+D279*E279</f>
        <v>46250</v>
      </c>
    </row>
    <row r="280" spans="1:6" x14ac:dyDescent="0.25">
      <c r="A280" s="14"/>
      <c r="B280" s="20" t="s">
        <v>86</v>
      </c>
      <c r="C280" s="21" t="s">
        <v>7</v>
      </c>
      <c r="D280" s="22">
        <v>0.37</v>
      </c>
      <c r="E280" s="18">
        <f>'HARGA BAHAN'!E5</f>
        <v>160000</v>
      </c>
      <c r="F280" s="19">
        <f>+D280*E280</f>
        <v>59200</v>
      </c>
    </row>
    <row r="281" spans="1:6" x14ac:dyDescent="0.25">
      <c r="A281" s="14"/>
      <c r="B281" s="15" t="s">
        <v>87</v>
      </c>
      <c r="C281" s="16" t="s">
        <v>7</v>
      </c>
      <c r="D281" s="17">
        <v>3.6999999999999998E-2</v>
      </c>
      <c r="E281" s="18">
        <f>'HARGA BAHAN'!E6</f>
        <v>180000</v>
      </c>
      <c r="F281" s="19">
        <f>+D281*E281</f>
        <v>6660</v>
      </c>
    </row>
    <row r="282" spans="1:6" ht="14.4" thickBot="1" x14ac:dyDescent="0.3">
      <c r="A282" s="24"/>
      <c r="B282" s="25" t="s">
        <v>42</v>
      </c>
      <c r="C282" s="26" t="s">
        <v>7</v>
      </c>
      <c r="D282" s="27">
        <v>3.6999999999999998E-2</v>
      </c>
      <c r="E282" s="18">
        <f>'HARGA BAHAN'!E7</f>
        <v>175000</v>
      </c>
      <c r="F282" s="19">
        <f>+D282*E282</f>
        <v>6475</v>
      </c>
    </row>
    <row r="283" spans="1:6" ht="14.4" thickBot="1" x14ac:dyDescent="0.3">
      <c r="A283" s="28"/>
      <c r="B283" s="29"/>
      <c r="C283" s="30"/>
      <c r="D283" s="31" t="s">
        <v>8</v>
      </c>
      <c r="E283" s="32"/>
      <c r="F283" s="33">
        <f>SUM(F279:F282)</f>
        <v>118585</v>
      </c>
    </row>
    <row r="284" spans="1:6" x14ac:dyDescent="0.25">
      <c r="A284" s="34" t="s">
        <v>9</v>
      </c>
      <c r="B284" s="35" t="s">
        <v>77</v>
      </c>
      <c r="C284" s="36"/>
      <c r="D284" s="36"/>
      <c r="E284" s="36"/>
      <c r="F284" s="37"/>
    </row>
    <row r="285" spans="1:6" x14ac:dyDescent="0.25">
      <c r="A285" s="38"/>
      <c r="B285" s="39" t="s">
        <v>171</v>
      </c>
      <c r="C285" s="40" t="s">
        <v>157</v>
      </c>
      <c r="D285" s="75">
        <v>2</v>
      </c>
      <c r="E285" s="42">
        <f>'HARGA BAHAN'!E47</f>
        <v>20500</v>
      </c>
      <c r="F285" s="43">
        <f>+D285*E285</f>
        <v>41000</v>
      </c>
    </row>
    <row r="286" spans="1:6" x14ac:dyDescent="0.25">
      <c r="A286" s="14"/>
      <c r="B286" s="15" t="s">
        <v>172</v>
      </c>
      <c r="C286" s="16" t="s">
        <v>157</v>
      </c>
      <c r="D286" s="77">
        <v>2.2000000000000002</v>
      </c>
      <c r="E286" s="18">
        <f>'HARGA BAHAN'!E80</f>
        <v>8925</v>
      </c>
      <c r="F286" s="19">
        <f t="shared" ref="F286:F287" si="3">+D286*E286</f>
        <v>19635</v>
      </c>
    </row>
    <row r="287" spans="1:6" x14ac:dyDescent="0.25">
      <c r="A287" s="14"/>
      <c r="B287" s="15" t="s">
        <v>173</v>
      </c>
      <c r="C287" s="16" t="s">
        <v>159</v>
      </c>
      <c r="D287" s="77">
        <v>0.4</v>
      </c>
      <c r="E287" s="18">
        <f>'HARGA BAHAN'!E81</f>
        <v>4200</v>
      </c>
      <c r="F287" s="19">
        <f t="shared" si="3"/>
        <v>1680</v>
      </c>
    </row>
    <row r="288" spans="1:6" ht="14.4" thickBot="1" x14ac:dyDescent="0.3">
      <c r="A288" s="79"/>
      <c r="B288" s="80" t="s">
        <v>174</v>
      </c>
      <c r="C288" s="81" t="s">
        <v>159</v>
      </c>
      <c r="D288" s="82">
        <v>12</v>
      </c>
      <c r="E288" s="83">
        <f>'HARGA BAHAN'!E78</f>
        <v>420</v>
      </c>
      <c r="F288" s="74">
        <f>+D288*E288</f>
        <v>5040</v>
      </c>
    </row>
    <row r="289" spans="1:6" ht="14.4" thickBot="1" x14ac:dyDescent="0.3">
      <c r="A289" s="28"/>
      <c r="B289" s="44"/>
      <c r="C289" s="44"/>
      <c r="D289" s="45" t="s">
        <v>10</v>
      </c>
      <c r="E289" s="44"/>
      <c r="F289" s="33">
        <f>SUM(F285:F288)</f>
        <v>67355</v>
      </c>
    </row>
    <row r="290" spans="1:6" x14ac:dyDescent="0.25">
      <c r="A290" s="34" t="s">
        <v>11</v>
      </c>
      <c r="B290" s="35" t="s">
        <v>78</v>
      </c>
      <c r="C290" s="36"/>
      <c r="D290" s="36"/>
      <c r="E290" s="36"/>
      <c r="F290" s="37"/>
    </row>
    <row r="291" spans="1:6" ht="14.4" thickBot="1" x14ac:dyDescent="0.3">
      <c r="A291" s="46"/>
      <c r="B291" s="47"/>
      <c r="C291" s="48"/>
      <c r="D291" s="49"/>
      <c r="E291" s="50"/>
      <c r="F291" s="51"/>
    </row>
    <row r="292" spans="1:6" ht="14.4" thickBot="1" x14ac:dyDescent="0.3">
      <c r="A292" s="28"/>
      <c r="B292" s="29"/>
      <c r="C292" s="30"/>
      <c r="D292" s="31" t="s">
        <v>12</v>
      </c>
      <c r="E292" s="32"/>
      <c r="F292" s="33">
        <f>SUM(F291)</f>
        <v>0</v>
      </c>
    </row>
    <row r="293" spans="1:6" x14ac:dyDescent="0.25">
      <c r="A293" s="34" t="s">
        <v>13</v>
      </c>
      <c r="B293" s="35" t="s">
        <v>14</v>
      </c>
      <c r="C293" s="52"/>
      <c r="D293" s="52"/>
      <c r="E293" s="53"/>
      <c r="F293" s="54">
        <f>+F283+F289+F292</f>
        <v>185940</v>
      </c>
    </row>
    <row r="294" spans="1:6" x14ac:dyDescent="0.25">
      <c r="A294" s="10" t="s">
        <v>15</v>
      </c>
      <c r="B294" s="11" t="s">
        <v>51</v>
      </c>
      <c r="C294" s="55"/>
      <c r="D294" s="55"/>
      <c r="E294" s="56"/>
      <c r="F294" s="57">
        <f>F293*15%</f>
        <v>27891</v>
      </c>
    </row>
    <row r="295" spans="1:6" ht="14.4" thickBot="1" x14ac:dyDescent="0.3">
      <c r="A295" s="58" t="s">
        <v>16</v>
      </c>
      <c r="B295" s="59" t="s">
        <v>17</v>
      </c>
      <c r="C295" s="60"/>
      <c r="D295" s="60"/>
      <c r="E295" s="61"/>
      <c r="F295" s="62">
        <f>SUM(F293:F294)</f>
        <v>213831</v>
      </c>
    </row>
    <row r="297" spans="1:6" ht="16.2" thickBot="1" x14ac:dyDescent="0.3">
      <c r="A297" s="376" t="s">
        <v>233</v>
      </c>
      <c r="B297" s="161" t="s">
        <v>232</v>
      </c>
      <c r="C297" s="162"/>
      <c r="D297" s="162"/>
      <c r="E297" s="162"/>
      <c r="F297" s="162"/>
    </row>
    <row r="298" spans="1:6" ht="28.2" thickBot="1" x14ac:dyDescent="0.3">
      <c r="A298" s="163" t="s">
        <v>2</v>
      </c>
      <c r="B298" s="164" t="s">
        <v>3</v>
      </c>
      <c r="C298" s="164" t="s">
        <v>0</v>
      </c>
      <c r="D298" s="164" t="s">
        <v>4</v>
      </c>
      <c r="E298" s="164" t="s">
        <v>5</v>
      </c>
      <c r="F298" s="165" t="s">
        <v>6</v>
      </c>
    </row>
    <row r="299" spans="1:6" x14ac:dyDescent="0.25">
      <c r="A299" s="166">
        <v>1</v>
      </c>
      <c r="B299" s="167">
        <v>2</v>
      </c>
      <c r="C299" s="167">
        <v>3</v>
      </c>
      <c r="D299" s="167">
        <v>4</v>
      </c>
      <c r="E299" s="167">
        <v>5</v>
      </c>
      <c r="F299" s="168">
        <v>6</v>
      </c>
    </row>
    <row r="300" spans="1:6" x14ac:dyDescent="0.25">
      <c r="A300" s="169" t="s">
        <v>1</v>
      </c>
      <c r="B300" s="170" t="s">
        <v>76</v>
      </c>
      <c r="C300" s="171"/>
      <c r="D300" s="171"/>
      <c r="E300" s="171"/>
      <c r="F300" s="172"/>
    </row>
    <row r="301" spans="1:6" x14ac:dyDescent="0.25">
      <c r="A301" s="173"/>
      <c r="B301" s="174" t="s">
        <v>40</v>
      </c>
      <c r="C301" s="175" t="s">
        <v>7</v>
      </c>
      <c r="D301" s="176">
        <v>0.37</v>
      </c>
      <c r="E301" s="177">
        <f>'HARGA BAHAN'!E4</f>
        <v>125000</v>
      </c>
      <c r="F301" s="178">
        <f>+D301*E301</f>
        <v>46250</v>
      </c>
    </row>
    <row r="302" spans="1:6" x14ac:dyDescent="0.25">
      <c r="A302" s="173"/>
      <c r="B302" s="179" t="s">
        <v>86</v>
      </c>
      <c r="C302" s="180" t="s">
        <v>7</v>
      </c>
      <c r="D302" s="181">
        <v>0.37</v>
      </c>
      <c r="E302" s="177">
        <f>'HARGA BAHAN'!E5</f>
        <v>160000</v>
      </c>
      <c r="F302" s="178">
        <f>+D302*E302</f>
        <v>59200</v>
      </c>
    </row>
    <row r="303" spans="1:6" x14ac:dyDescent="0.25">
      <c r="A303" s="173"/>
      <c r="B303" s="174" t="s">
        <v>87</v>
      </c>
      <c r="C303" s="175" t="s">
        <v>7</v>
      </c>
      <c r="D303" s="176">
        <v>3.6999999999999998E-2</v>
      </c>
      <c r="E303" s="177">
        <f>'HARGA BAHAN'!E6</f>
        <v>180000</v>
      </c>
      <c r="F303" s="178">
        <f>+D303*E303</f>
        <v>6660</v>
      </c>
    </row>
    <row r="304" spans="1:6" ht="14.4" thickBot="1" x14ac:dyDescent="0.3">
      <c r="A304" s="182"/>
      <c r="B304" s="183" t="s">
        <v>42</v>
      </c>
      <c r="C304" s="184" t="s">
        <v>7</v>
      </c>
      <c r="D304" s="185">
        <v>3.6999999999999998E-2</v>
      </c>
      <c r="E304" s="177">
        <f>'HARGA BAHAN'!E7</f>
        <v>175000</v>
      </c>
      <c r="F304" s="178">
        <f>+D304*E304</f>
        <v>6475</v>
      </c>
    </row>
    <row r="305" spans="1:6" ht="14.4" thickBot="1" x14ac:dyDescent="0.3">
      <c r="A305" s="186"/>
      <c r="B305" s="187"/>
      <c r="C305" s="188"/>
      <c r="D305" s="189" t="s">
        <v>8</v>
      </c>
      <c r="E305" s="190"/>
      <c r="F305" s="191">
        <f>SUM(F301:F304)</f>
        <v>118585</v>
      </c>
    </row>
    <row r="306" spans="1:6" x14ac:dyDescent="0.25">
      <c r="A306" s="192" t="s">
        <v>9</v>
      </c>
      <c r="B306" s="193" t="s">
        <v>77</v>
      </c>
      <c r="C306" s="194"/>
      <c r="D306" s="194"/>
      <c r="E306" s="194"/>
      <c r="F306" s="195"/>
    </row>
    <row r="307" spans="1:6" x14ac:dyDescent="0.25">
      <c r="A307" s="196"/>
      <c r="B307" s="197" t="s">
        <v>171</v>
      </c>
      <c r="C307" s="198" t="s">
        <v>157</v>
      </c>
      <c r="D307" s="199">
        <f>2*2</f>
        <v>4</v>
      </c>
      <c r="E307" s="200">
        <f>'HARGA BAHAN'!E47</f>
        <v>20500</v>
      </c>
      <c r="F307" s="201">
        <f>+D307*E307</f>
        <v>82000</v>
      </c>
    </row>
    <row r="308" spans="1:6" x14ac:dyDescent="0.25">
      <c r="A308" s="173"/>
      <c r="B308" s="174" t="s">
        <v>172</v>
      </c>
      <c r="C308" s="175" t="s">
        <v>157</v>
      </c>
      <c r="D308" s="377">
        <f>2.2*2</f>
        <v>4.4000000000000004</v>
      </c>
      <c r="E308" s="177">
        <f>'HARGA BAHAN'!E80</f>
        <v>8925</v>
      </c>
      <c r="F308" s="178">
        <f t="shared" ref="F308:F309" si="4">+D308*E308</f>
        <v>39270</v>
      </c>
    </row>
    <row r="309" spans="1:6" x14ac:dyDescent="0.25">
      <c r="A309" s="173"/>
      <c r="B309" s="174" t="s">
        <v>173</v>
      </c>
      <c r="C309" s="175" t="s">
        <v>159</v>
      </c>
      <c r="D309" s="377">
        <f>0.4*2</f>
        <v>0.8</v>
      </c>
      <c r="E309" s="177">
        <f>'HARGA BAHAN'!E81</f>
        <v>4200</v>
      </c>
      <c r="F309" s="178">
        <f t="shared" si="4"/>
        <v>3360</v>
      </c>
    </row>
    <row r="310" spans="1:6" ht="14.4" thickBot="1" x14ac:dyDescent="0.3">
      <c r="A310" s="378"/>
      <c r="B310" s="379" t="s">
        <v>174</v>
      </c>
      <c r="C310" s="380" t="s">
        <v>159</v>
      </c>
      <c r="D310" s="381">
        <f>12*2</f>
        <v>24</v>
      </c>
      <c r="E310" s="382">
        <f>'HARGA BAHAN'!E78</f>
        <v>420</v>
      </c>
      <c r="F310" s="383">
        <f>+D310*E310</f>
        <v>10080</v>
      </c>
    </row>
    <row r="311" spans="1:6" ht="14.4" thickBot="1" x14ac:dyDescent="0.3">
      <c r="A311" s="186"/>
      <c r="B311" s="205"/>
      <c r="C311" s="205"/>
      <c r="D311" s="206" t="s">
        <v>10</v>
      </c>
      <c r="E311" s="205"/>
      <c r="F311" s="191">
        <f>SUM(F307:F310)</f>
        <v>134710</v>
      </c>
    </row>
    <row r="312" spans="1:6" x14ac:dyDescent="0.25">
      <c r="A312" s="192" t="s">
        <v>11</v>
      </c>
      <c r="B312" s="193" t="s">
        <v>78</v>
      </c>
      <c r="C312" s="194"/>
      <c r="D312" s="194"/>
      <c r="E312" s="194"/>
      <c r="F312" s="195"/>
    </row>
    <row r="313" spans="1:6" ht="14.4" thickBot="1" x14ac:dyDescent="0.3">
      <c r="A313" s="207"/>
      <c r="B313" s="208"/>
      <c r="C313" s="209"/>
      <c r="D313" s="210"/>
      <c r="E313" s="211"/>
      <c r="F313" s="212"/>
    </row>
    <row r="314" spans="1:6" ht="14.4" thickBot="1" x14ac:dyDescent="0.3">
      <c r="A314" s="186"/>
      <c r="B314" s="187"/>
      <c r="C314" s="188"/>
      <c r="D314" s="189" t="s">
        <v>12</v>
      </c>
      <c r="E314" s="190"/>
      <c r="F314" s="191">
        <f>SUM(F313)</f>
        <v>0</v>
      </c>
    </row>
    <row r="315" spans="1:6" x14ac:dyDescent="0.25">
      <c r="A315" s="192" t="s">
        <v>13</v>
      </c>
      <c r="B315" s="193" t="s">
        <v>14</v>
      </c>
      <c r="C315" s="213"/>
      <c r="D315" s="213"/>
      <c r="E315" s="214"/>
      <c r="F315" s="215">
        <f>+F305+F311+F314</f>
        <v>253295</v>
      </c>
    </row>
    <row r="316" spans="1:6" x14ac:dyDescent="0.25">
      <c r="A316" s="169" t="s">
        <v>15</v>
      </c>
      <c r="B316" s="170" t="s">
        <v>51</v>
      </c>
      <c r="C316" s="216"/>
      <c r="D316" s="216"/>
      <c r="E316" s="217"/>
      <c r="F316" s="218">
        <f>F315*15%</f>
        <v>37994.25</v>
      </c>
    </row>
    <row r="317" spans="1:6" ht="14.4" thickBot="1" x14ac:dyDescent="0.3">
      <c r="A317" s="219" t="s">
        <v>16</v>
      </c>
      <c r="B317" s="220" t="s">
        <v>17</v>
      </c>
      <c r="C317" s="221"/>
      <c r="D317" s="221"/>
      <c r="E317" s="222"/>
      <c r="F317" s="223">
        <f>SUM(F315:F316)</f>
        <v>291289.25</v>
      </c>
    </row>
    <row r="319" spans="1:6" ht="16.2" thickBot="1" x14ac:dyDescent="0.3">
      <c r="A319" s="546" t="s">
        <v>572</v>
      </c>
      <c r="B319" s="297" t="s">
        <v>418</v>
      </c>
      <c r="C319" s="298"/>
      <c r="D319" s="298"/>
      <c r="E319" s="298"/>
      <c r="F319" s="298"/>
    </row>
    <row r="320" spans="1:6" ht="28.2" thickBot="1" x14ac:dyDescent="0.3">
      <c r="A320" s="299" t="s">
        <v>2</v>
      </c>
      <c r="B320" s="300" t="s">
        <v>3</v>
      </c>
      <c r="C320" s="300" t="s">
        <v>0</v>
      </c>
      <c r="D320" s="300" t="s">
        <v>4</v>
      </c>
      <c r="E320" s="300" t="s">
        <v>5</v>
      </c>
      <c r="F320" s="301" t="s">
        <v>6</v>
      </c>
    </row>
    <row r="321" spans="1:6" x14ac:dyDescent="0.25">
      <c r="A321" s="302">
        <v>1</v>
      </c>
      <c r="B321" s="303">
        <v>2</v>
      </c>
      <c r="C321" s="303">
        <v>3</v>
      </c>
      <c r="D321" s="303">
        <v>4</v>
      </c>
      <c r="E321" s="303">
        <v>5</v>
      </c>
      <c r="F321" s="304">
        <v>6</v>
      </c>
    </row>
    <row r="322" spans="1:6" x14ac:dyDescent="0.25">
      <c r="A322" s="305" t="s">
        <v>1</v>
      </c>
      <c r="B322" s="306" t="s">
        <v>76</v>
      </c>
      <c r="C322" s="307"/>
      <c r="D322" s="307"/>
      <c r="E322" s="307"/>
      <c r="F322" s="308"/>
    </row>
    <row r="323" spans="1:6" x14ac:dyDescent="0.25">
      <c r="A323" s="309"/>
      <c r="B323" s="310" t="s">
        <v>40</v>
      </c>
      <c r="C323" s="311" t="s">
        <v>7</v>
      </c>
      <c r="D323" s="312">
        <v>0.37</v>
      </c>
      <c r="E323" s="313">
        <f>'HARGA BAHAN'!E4</f>
        <v>125000</v>
      </c>
      <c r="F323" s="314">
        <f>+D323*E323</f>
        <v>46250</v>
      </c>
    </row>
    <row r="324" spans="1:6" x14ac:dyDescent="0.25">
      <c r="A324" s="309"/>
      <c r="B324" s="315" t="s">
        <v>86</v>
      </c>
      <c r="C324" s="316" t="s">
        <v>7</v>
      </c>
      <c r="D324" s="317">
        <v>0.37</v>
      </c>
      <c r="E324" s="313">
        <f>'HARGA BAHAN'!E5</f>
        <v>160000</v>
      </c>
      <c r="F324" s="314">
        <f>+D324*E324</f>
        <v>59200</v>
      </c>
    </row>
    <row r="325" spans="1:6" x14ac:dyDescent="0.25">
      <c r="A325" s="309"/>
      <c r="B325" s="310" t="s">
        <v>87</v>
      </c>
      <c r="C325" s="311" t="s">
        <v>7</v>
      </c>
      <c r="D325" s="312">
        <v>3.6999999999999998E-2</v>
      </c>
      <c r="E325" s="313">
        <f>'HARGA BAHAN'!E6</f>
        <v>180000</v>
      </c>
      <c r="F325" s="314">
        <f>+D325*E325</f>
        <v>6660</v>
      </c>
    </row>
    <row r="326" spans="1:6" ht="14.4" thickBot="1" x14ac:dyDescent="0.3">
      <c r="A326" s="318"/>
      <c r="B326" s="319" t="s">
        <v>42</v>
      </c>
      <c r="C326" s="320" t="s">
        <v>7</v>
      </c>
      <c r="D326" s="321">
        <v>3.6999999999999998E-2</v>
      </c>
      <c r="E326" s="313">
        <f>'HARGA BAHAN'!E7</f>
        <v>175000</v>
      </c>
      <c r="F326" s="314">
        <f>+D326*E326</f>
        <v>6475</v>
      </c>
    </row>
    <row r="327" spans="1:6" ht="14.4" thickBot="1" x14ac:dyDescent="0.3">
      <c r="A327" s="322"/>
      <c r="B327" s="323"/>
      <c r="C327" s="324"/>
      <c r="D327" s="325" t="s">
        <v>8</v>
      </c>
      <c r="E327" s="326"/>
      <c r="F327" s="327">
        <f>SUM(F323:F326)</f>
        <v>118585</v>
      </c>
    </row>
    <row r="328" spans="1:6" x14ac:dyDescent="0.25">
      <c r="A328" s="328" t="s">
        <v>9</v>
      </c>
      <c r="B328" s="329" t="s">
        <v>77</v>
      </c>
      <c r="C328" s="330"/>
      <c r="D328" s="330"/>
      <c r="E328" s="330"/>
      <c r="F328" s="331"/>
    </row>
    <row r="329" spans="1:6" x14ac:dyDescent="0.25">
      <c r="A329" s="332"/>
      <c r="B329" s="333" t="s">
        <v>419</v>
      </c>
      <c r="C329" s="334" t="s">
        <v>157</v>
      </c>
      <c r="D329" s="547">
        <v>5</v>
      </c>
      <c r="E329" s="336">
        <f>'HARGA BAHAN'!E51</f>
        <v>167000</v>
      </c>
      <c r="F329" s="403">
        <f>+D329*E329</f>
        <v>835000</v>
      </c>
    </row>
    <row r="330" spans="1:6" x14ac:dyDescent="0.25">
      <c r="A330" s="549"/>
      <c r="B330" s="315" t="s">
        <v>173</v>
      </c>
      <c r="C330" s="316" t="s">
        <v>159</v>
      </c>
      <c r="D330" s="550">
        <v>3</v>
      </c>
      <c r="E330" s="551">
        <f>'HARGA BAHAN'!E81</f>
        <v>4200</v>
      </c>
      <c r="F330" s="314">
        <f>+D330*E330</f>
        <v>12600</v>
      </c>
    </row>
    <row r="331" spans="1:6" ht="14.4" thickBot="1" x14ac:dyDescent="0.3">
      <c r="A331" s="309"/>
      <c r="B331" s="310" t="s">
        <v>421</v>
      </c>
      <c r="C331" s="311" t="s">
        <v>213</v>
      </c>
      <c r="D331" s="548">
        <v>0.1</v>
      </c>
      <c r="E331" s="313">
        <f>'HARGA BAHAN'!E26</f>
        <v>44700</v>
      </c>
      <c r="F331" s="314">
        <f t="shared" ref="F331" si="5">+D331*E331</f>
        <v>4470</v>
      </c>
    </row>
    <row r="332" spans="1:6" ht="14.4" thickBot="1" x14ac:dyDescent="0.3">
      <c r="A332" s="322"/>
      <c r="B332" s="347"/>
      <c r="C332" s="347"/>
      <c r="D332" s="348" t="s">
        <v>10</v>
      </c>
      <c r="E332" s="347"/>
      <c r="F332" s="327">
        <f>SUM(F329:F331)</f>
        <v>852070</v>
      </c>
    </row>
    <row r="333" spans="1:6" x14ac:dyDescent="0.25">
      <c r="A333" s="328" t="s">
        <v>11</v>
      </c>
      <c r="B333" s="329" t="s">
        <v>78</v>
      </c>
      <c r="C333" s="330"/>
      <c r="D333" s="330"/>
      <c r="E333" s="330"/>
      <c r="F333" s="331"/>
    </row>
    <row r="334" spans="1:6" ht="14.4" thickBot="1" x14ac:dyDescent="0.3">
      <c r="A334" s="349"/>
      <c r="B334" s="350" t="s">
        <v>422</v>
      </c>
      <c r="C334" s="351"/>
      <c r="D334" s="352"/>
      <c r="E334" s="353"/>
      <c r="F334" s="354"/>
    </row>
    <row r="335" spans="1:6" ht="14.4" thickBot="1" x14ac:dyDescent="0.3">
      <c r="A335" s="322"/>
      <c r="B335" s="323"/>
      <c r="C335" s="324"/>
      <c r="D335" s="325" t="s">
        <v>423</v>
      </c>
      <c r="E335" s="326"/>
      <c r="F335" s="327">
        <f>F332*5%</f>
        <v>42603.5</v>
      </c>
    </row>
    <row r="336" spans="1:6" x14ac:dyDescent="0.25">
      <c r="A336" s="328" t="s">
        <v>13</v>
      </c>
      <c r="B336" s="329" t="s">
        <v>14</v>
      </c>
      <c r="C336" s="355"/>
      <c r="D336" s="355"/>
      <c r="E336" s="356"/>
      <c r="F336" s="357">
        <f>+F327+F332+F335</f>
        <v>1013258.5</v>
      </c>
    </row>
    <row r="337" spans="1:6" x14ac:dyDescent="0.25">
      <c r="A337" s="305" t="s">
        <v>15</v>
      </c>
      <c r="B337" s="306" t="s">
        <v>51</v>
      </c>
      <c r="C337" s="358"/>
      <c r="D337" s="358"/>
      <c r="E337" s="359"/>
      <c r="F337" s="360">
        <f>F336*15%</f>
        <v>151988.77499999999</v>
      </c>
    </row>
    <row r="338" spans="1:6" ht="14.4" thickBot="1" x14ac:dyDescent="0.3">
      <c r="A338" s="361" t="s">
        <v>16</v>
      </c>
      <c r="B338" s="362" t="s">
        <v>17</v>
      </c>
      <c r="C338" s="363"/>
      <c r="D338" s="363"/>
      <c r="E338" s="364"/>
      <c r="F338" s="365">
        <f>SUM(F336:F337)</f>
        <v>1165247.2749999999</v>
      </c>
    </row>
    <row r="340" spans="1:6" ht="14.4" thickBot="1" x14ac:dyDescent="0.3">
      <c r="A340" s="224" t="s">
        <v>436</v>
      </c>
      <c r="B340" s="225" t="s">
        <v>437</v>
      </c>
      <c r="C340" s="226"/>
      <c r="D340" s="226"/>
      <c r="E340" s="226"/>
      <c r="F340" s="226"/>
    </row>
    <row r="341" spans="1:6" ht="28.2" thickBot="1" x14ac:dyDescent="0.3">
      <c r="A341" s="227" t="s">
        <v>2</v>
      </c>
      <c r="B341" s="228" t="s">
        <v>3</v>
      </c>
      <c r="C341" s="228" t="s">
        <v>0</v>
      </c>
      <c r="D341" s="228" t="s">
        <v>4</v>
      </c>
      <c r="E341" s="228" t="s">
        <v>5</v>
      </c>
      <c r="F341" s="229" t="s">
        <v>6</v>
      </c>
    </row>
    <row r="342" spans="1:6" x14ac:dyDescent="0.25">
      <c r="A342" s="230">
        <v>1</v>
      </c>
      <c r="B342" s="231">
        <v>2</v>
      </c>
      <c r="C342" s="231">
        <v>3</v>
      </c>
      <c r="D342" s="231">
        <v>4</v>
      </c>
      <c r="E342" s="231">
        <v>5</v>
      </c>
      <c r="F342" s="232">
        <v>6</v>
      </c>
    </row>
    <row r="343" spans="1:6" x14ac:dyDescent="0.25">
      <c r="A343" s="233" t="s">
        <v>1</v>
      </c>
      <c r="B343" s="234" t="s">
        <v>76</v>
      </c>
      <c r="C343" s="235"/>
      <c r="D343" s="235"/>
      <c r="E343" s="235"/>
      <c r="F343" s="236"/>
    </row>
    <row r="344" spans="1:6" x14ac:dyDescent="0.25">
      <c r="A344" s="237"/>
      <c r="B344" s="238" t="s">
        <v>40</v>
      </c>
      <c r="C344" s="239" t="s">
        <v>7</v>
      </c>
      <c r="D344" s="240">
        <v>0.3</v>
      </c>
      <c r="E344" s="241">
        <f>'HARGA BAHAN'!E4</f>
        <v>125000</v>
      </c>
      <c r="F344" s="242">
        <f>+D344*E344</f>
        <v>37500</v>
      </c>
    </row>
    <row r="345" spans="1:6" x14ac:dyDescent="0.25">
      <c r="A345" s="237"/>
      <c r="B345" s="243" t="s">
        <v>332</v>
      </c>
      <c r="C345" s="244" t="s">
        <v>7</v>
      </c>
      <c r="D345" s="245">
        <v>0.15</v>
      </c>
      <c r="E345" s="241">
        <f>'HARGA BAHAN'!E5</f>
        <v>160000</v>
      </c>
      <c r="F345" s="242">
        <f>+D345*E345</f>
        <v>24000</v>
      </c>
    </row>
    <row r="346" spans="1:6" x14ac:dyDescent="0.25">
      <c r="A346" s="237"/>
      <c r="B346" s="238" t="s">
        <v>87</v>
      </c>
      <c r="C346" s="239" t="s">
        <v>7</v>
      </c>
      <c r="D346" s="240">
        <v>1.4999999999999999E-2</v>
      </c>
      <c r="E346" s="241">
        <f>'HARGA BAHAN'!E6</f>
        <v>180000</v>
      </c>
      <c r="F346" s="242">
        <f>+D346*E346</f>
        <v>2700</v>
      </c>
    </row>
    <row r="347" spans="1:6" ht="14.4" thickBot="1" x14ac:dyDescent="0.3">
      <c r="A347" s="246"/>
      <c r="B347" s="247" t="s">
        <v>42</v>
      </c>
      <c r="C347" s="248" t="s">
        <v>7</v>
      </c>
      <c r="D347" s="249">
        <v>1.4999999999999999E-2</v>
      </c>
      <c r="E347" s="241">
        <f>'HARGA BAHAN'!E7</f>
        <v>175000</v>
      </c>
      <c r="F347" s="242">
        <f>+D347*E347</f>
        <v>2625</v>
      </c>
    </row>
    <row r="348" spans="1:6" ht="14.4" thickBot="1" x14ac:dyDescent="0.3">
      <c r="A348" s="250"/>
      <c r="B348" s="251"/>
      <c r="C348" s="252"/>
      <c r="D348" s="253" t="s">
        <v>8</v>
      </c>
      <c r="E348" s="254"/>
      <c r="F348" s="255">
        <f>SUM(F344:F347)</f>
        <v>66825</v>
      </c>
    </row>
    <row r="349" spans="1:6" x14ac:dyDescent="0.25">
      <c r="A349" s="256" t="s">
        <v>9</v>
      </c>
      <c r="B349" s="257" t="s">
        <v>77</v>
      </c>
      <c r="C349" s="258"/>
      <c r="D349" s="258"/>
      <c r="E349" s="258"/>
      <c r="F349" s="259"/>
    </row>
    <row r="350" spans="1:6" x14ac:dyDescent="0.25">
      <c r="A350" s="265"/>
      <c r="B350" s="266" t="s">
        <v>85</v>
      </c>
      <c r="C350" s="267" t="s">
        <v>21</v>
      </c>
      <c r="D350" s="268">
        <v>10</v>
      </c>
      <c r="E350" s="269">
        <f>'HARGA BAHAN'!E13</f>
        <v>2000</v>
      </c>
      <c r="F350" s="242">
        <f>+D350*E350</f>
        <v>20000</v>
      </c>
    </row>
    <row r="351" spans="1:6" ht="16.2" thickBot="1" x14ac:dyDescent="0.3">
      <c r="A351" s="270"/>
      <c r="B351" s="271" t="s">
        <v>106</v>
      </c>
      <c r="C351" s="272" t="s">
        <v>205</v>
      </c>
      <c r="D351" s="273">
        <v>4.4999999999999998E-2</v>
      </c>
      <c r="E351" s="274">
        <f>'HARGA BAHAN'!E15</f>
        <v>210000</v>
      </c>
      <c r="F351" s="242">
        <f>+D351*E351</f>
        <v>9450</v>
      </c>
    </row>
    <row r="352" spans="1:6" ht="14.4" thickBot="1" x14ac:dyDescent="0.3">
      <c r="A352" s="250"/>
      <c r="B352" s="275"/>
      <c r="C352" s="275"/>
      <c r="D352" s="276" t="s">
        <v>10</v>
      </c>
      <c r="E352" s="275"/>
      <c r="F352" s="255">
        <f>SUM(F350:F351)</f>
        <v>29450</v>
      </c>
    </row>
    <row r="353" spans="1:6" x14ac:dyDescent="0.25">
      <c r="A353" s="256" t="s">
        <v>11</v>
      </c>
      <c r="B353" s="257" t="s">
        <v>78</v>
      </c>
      <c r="C353" s="258"/>
      <c r="D353" s="258"/>
      <c r="E353" s="258"/>
      <c r="F353" s="259"/>
    </row>
    <row r="354" spans="1:6" ht="14.4" thickBot="1" x14ac:dyDescent="0.3">
      <c r="A354" s="277"/>
      <c r="B354" s="278"/>
      <c r="C354" s="279"/>
      <c r="D354" s="280"/>
      <c r="E354" s="281"/>
      <c r="F354" s="282"/>
    </row>
    <row r="355" spans="1:6" ht="14.4" thickBot="1" x14ac:dyDescent="0.3">
      <c r="A355" s="250"/>
      <c r="B355" s="251"/>
      <c r="C355" s="252"/>
      <c r="D355" s="253" t="s">
        <v>12</v>
      </c>
      <c r="E355" s="254"/>
      <c r="F355" s="255">
        <f>SUM(F354)</f>
        <v>0</v>
      </c>
    </row>
    <row r="356" spans="1:6" x14ac:dyDescent="0.25">
      <c r="A356" s="256" t="s">
        <v>13</v>
      </c>
      <c r="B356" s="257" t="s">
        <v>14</v>
      </c>
      <c r="C356" s="283"/>
      <c r="D356" s="283"/>
      <c r="E356" s="284"/>
      <c r="F356" s="285">
        <f>+F348+F352+F355</f>
        <v>96275</v>
      </c>
    </row>
    <row r="357" spans="1:6" x14ac:dyDescent="0.25">
      <c r="A357" s="233" t="s">
        <v>15</v>
      </c>
      <c r="B357" s="234" t="s">
        <v>51</v>
      </c>
      <c r="C357" s="286"/>
      <c r="D357" s="286"/>
      <c r="E357" s="287"/>
      <c r="F357" s="288">
        <f>F356*15%</f>
        <v>14441.25</v>
      </c>
    </row>
    <row r="358" spans="1:6" ht="14.4" thickBot="1" x14ac:dyDescent="0.3">
      <c r="A358" s="289" t="s">
        <v>16</v>
      </c>
      <c r="B358" s="290" t="s">
        <v>17</v>
      </c>
      <c r="C358" s="291"/>
      <c r="D358" s="291"/>
      <c r="E358" s="292"/>
      <c r="F358" s="293">
        <f>SUM(F356:F357)</f>
        <v>110716.25</v>
      </c>
    </row>
    <row r="360" spans="1:6" ht="14.4" thickBot="1" x14ac:dyDescent="0.3">
      <c r="A360" s="224" t="s">
        <v>438</v>
      </c>
      <c r="B360" s="225" t="s">
        <v>439</v>
      </c>
      <c r="C360" s="226"/>
      <c r="D360" s="226"/>
      <c r="E360" s="226"/>
      <c r="F360" s="226"/>
    </row>
    <row r="361" spans="1:6" ht="28.2" thickBot="1" x14ac:dyDescent="0.3">
      <c r="A361" s="227" t="s">
        <v>2</v>
      </c>
      <c r="B361" s="228" t="s">
        <v>3</v>
      </c>
      <c r="C361" s="228" t="s">
        <v>0</v>
      </c>
      <c r="D361" s="228" t="s">
        <v>4</v>
      </c>
      <c r="E361" s="228" t="s">
        <v>5</v>
      </c>
      <c r="F361" s="229" t="s">
        <v>6</v>
      </c>
    </row>
    <row r="362" spans="1:6" x14ac:dyDescent="0.25">
      <c r="A362" s="230">
        <v>1</v>
      </c>
      <c r="B362" s="231">
        <v>2</v>
      </c>
      <c r="C362" s="231">
        <v>3</v>
      </c>
      <c r="D362" s="231">
        <v>4</v>
      </c>
      <c r="E362" s="231">
        <v>5</v>
      </c>
      <c r="F362" s="232">
        <v>6</v>
      </c>
    </row>
    <row r="363" spans="1:6" x14ac:dyDescent="0.25">
      <c r="A363" s="233" t="s">
        <v>1</v>
      </c>
      <c r="B363" s="234" t="s">
        <v>76</v>
      </c>
      <c r="C363" s="235"/>
      <c r="D363" s="235"/>
      <c r="E363" s="235"/>
      <c r="F363" s="236"/>
    </row>
    <row r="364" spans="1:6" x14ac:dyDescent="0.25">
      <c r="A364" s="237"/>
      <c r="B364" s="238" t="s">
        <v>40</v>
      </c>
      <c r="C364" s="239" t="s">
        <v>7</v>
      </c>
      <c r="D364" s="240">
        <v>0.2</v>
      </c>
      <c r="E364" s="241">
        <f>'HARGA BAHAN'!E4</f>
        <v>125000</v>
      </c>
      <c r="F364" s="242">
        <f>+D364*E364</f>
        <v>25000</v>
      </c>
    </row>
    <row r="365" spans="1:6" x14ac:dyDescent="0.25">
      <c r="A365" s="237"/>
      <c r="B365" s="243" t="s">
        <v>332</v>
      </c>
      <c r="C365" s="244" t="s">
        <v>7</v>
      </c>
      <c r="D365" s="245">
        <v>0.1</v>
      </c>
      <c r="E365" s="241">
        <f>'HARGA BAHAN'!E5</f>
        <v>160000</v>
      </c>
      <c r="F365" s="242">
        <f>+D365*E365</f>
        <v>16000</v>
      </c>
    </row>
    <row r="366" spans="1:6" x14ac:dyDescent="0.25">
      <c r="A366" s="237"/>
      <c r="B366" s="238" t="s">
        <v>87</v>
      </c>
      <c r="C366" s="239" t="s">
        <v>7</v>
      </c>
      <c r="D366" s="240">
        <v>0.01</v>
      </c>
      <c r="E366" s="241">
        <f>'HARGA BAHAN'!E6</f>
        <v>180000</v>
      </c>
      <c r="F366" s="242">
        <f>+D366*E366</f>
        <v>1800</v>
      </c>
    </row>
    <row r="367" spans="1:6" ht="14.4" thickBot="1" x14ac:dyDescent="0.3">
      <c r="A367" s="246"/>
      <c r="B367" s="247" t="s">
        <v>42</v>
      </c>
      <c r="C367" s="248" t="s">
        <v>7</v>
      </c>
      <c r="D367" s="249">
        <v>0.01</v>
      </c>
      <c r="E367" s="241">
        <f>'HARGA BAHAN'!E7</f>
        <v>175000</v>
      </c>
      <c r="F367" s="242">
        <f>+D367*E367</f>
        <v>1750</v>
      </c>
    </row>
    <row r="368" spans="1:6" ht="14.4" thickBot="1" x14ac:dyDescent="0.3">
      <c r="A368" s="250"/>
      <c r="B368" s="251"/>
      <c r="C368" s="252"/>
      <c r="D368" s="253" t="s">
        <v>8</v>
      </c>
      <c r="E368" s="254"/>
      <c r="F368" s="255">
        <f>SUM(F364:F367)</f>
        <v>44550</v>
      </c>
    </row>
    <row r="369" spans="1:6" x14ac:dyDescent="0.25">
      <c r="A369" s="256" t="s">
        <v>9</v>
      </c>
      <c r="B369" s="257" t="s">
        <v>77</v>
      </c>
      <c r="C369" s="258"/>
      <c r="D369" s="258"/>
      <c r="E369" s="258"/>
      <c r="F369" s="259"/>
    </row>
    <row r="370" spans="1:6" ht="14.4" thickBot="1" x14ac:dyDescent="0.3">
      <c r="A370" s="265"/>
      <c r="B370" s="266" t="s">
        <v>85</v>
      </c>
      <c r="C370" s="267" t="s">
        <v>21</v>
      </c>
      <c r="D370" s="268">
        <v>3.25</v>
      </c>
      <c r="E370" s="269">
        <f>'HARGA BAHAN'!E13</f>
        <v>2000</v>
      </c>
      <c r="F370" s="242">
        <f>+D370*E370</f>
        <v>6500</v>
      </c>
    </row>
    <row r="371" spans="1:6" ht="14.4" thickBot="1" x14ac:dyDescent="0.3">
      <c r="A371" s="250"/>
      <c r="B371" s="275"/>
      <c r="C371" s="275"/>
      <c r="D371" s="276" t="s">
        <v>10</v>
      </c>
      <c r="E371" s="275"/>
      <c r="F371" s="255">
        <f>SUM(F370:F370)</f>
        <v>6500</v>
      </c>
    </row>
    <row r="372" spans="1:6" x14ac:dyDescent="0.25">
      <c r="A372" s="256" t="s">
        <v>11</v>
      </c>
      <c r="B372" s="257" t="s">
        <v>78</v>
      </c>
      <c r="C372" s="258"/>
      <c r="D372" s="258"/>
      <c r="E372" s="258"/>
      <c r="F372" s="259"/>
    </row>
    <row r="373" spans="1:6" ht="14.4" thickBot="1" x14ac:dyDescent="0.3">
      <c r="A373" s="277"/>
      <c r="B373" s="278"/>
      <c r="C373" s="279"/>
      <c r="D373" s="280"/>
      <c r="E373" s="281"/>
      <c r="F373" s="282"/>
    </row>
    <row r="374" spans="1:6" ht="14.4" thickBot="1" x14ac:dyDescent="0.3">
      <c r="A374" s="250"/>
      <c r="B374" s="251"/>
      <c r="C374" s="252"/>
      <c r="D374" s="253" t="s">
        <v>12</v>
      </c>
      <c r="E374" s="254"/>
      <c r="F374" s="255">
        <f>SUM(F373)</f>
        <v>0</v>
      </c>
    </row>
    <row r="375" spans="1:6" x14ac:dyDescent="0.25">
      <c r="A375" s="256" t="s">
        <v>13</v>
      </c>
      <c r="B375" s="257" t="s">
        <v>14</v>
      </c>
      <c r="C375" s="283"/>
      <c r="D375" s="283"/>
      <c r="E375" s="284"/>
      <c r="F375" s="285">
        <f>+F368+F371+F374</f>
        <v>51050</v>
      </c>
    </row>
    <row r="376" spans="1:6" x14ac:dyDescent="0.25">
      <c r="A376" s="233" t="s">
        <v>15</v>
      </c>
      <c r="B376" s="234" t="s">
        <v>51</v>
      </c>
      <c r="C376" s="286"/>
      <c r="D376" s="286"/>
      <c r="E376" s="287"/>
      <c r="F376" s="288">
        <f>F375*15%</f>
        <v>7657.5</v>
      </c>
    </row>
    <row r="377" spans="1:6" ht="14.4" thickBot="1" x14ac:dyDescent="0.3">
      <c r="A377" s="289" t="s">
        <v>16</v>
      </c>
      <c r="B377" s="290" t="s">
        <v>17</v>
      </c>
      <c r="C377" s="291"/>
      <c r="D377" s="291"/>
      <c r="E377" s="292"/>
      <c r="F377" s="293">
        <f>SUM(F375:F376)</f>
        <v>58707.5</v>
      </c>
    </row>
    <row r="379" spans="1:6" ht="14.4" thickBot="1" x14ac:dyDescent="0.3">
      <c r="A379" s="71" t="s">
        <v>177</v>
      </c>
      <c r="B379" s="2" t="s">
        <v>178</v>
      </c>
      <c r="C379" s="3"/>
      <c r="D379" s="3"/>
      <c r="E379" s="3"/>
      <c r="F379" s="3"/>
    </row>
    <row r="380" spans="1:6" ht="28.2" thickBot="1" x14ac:dyDescent="0.3">
      <c r="A380" s="4" t="s">
        <v>2</v>
      </c>
      <c r="B380" s="5" t="s">
        <v>3</v>
      </c>
      <c r="C380" s="5" t="s">
        <v>0</v>
      </c>
      <c r="D380" s="5" t="s">
        <v>4</v>
      </c>
      <c r="E380" s="5" t="s">
        <v>5</v>
      </c>
      <c r="F380" s="6" t="s">
        <v>6</v>
      </c>
    </row>
    <row r="381" spans="1:6" x14ac:dyDescent="0.25">
      <c r="A381" s="7">
        <v>1</v>
      </c>
      <c r="B381" s="8">
        <v>2</v>
      </c>
      <c r="C381" s="8">
        <v>3</v>
      </c>
      <c r="D381" s="8">
        <v>4</v>
      </c>
      <c r="E381" s="8">
        <v>5</v>
      </c>
      <c r="F381" s="9">
        <v>6</v>
      </c>
    </row>
    <row r="382" spans="1:6" x14ac:dyDescent="0.25">
      <c r="A382" s="10" t="s">
        <v>1</v>
      </c>
      <c r="B382" s="11" t="s">
        <v>76</v>
      </c>
      <c r="C382" s="12"/>
      <c r="D382" s="12"/>
      <c r="E382" s="12"/>
      <c r="F382" s="13"/>
    </row>
    <row r="383" spans="1:6" x14ac:dyDescent="0.25">
      <c r="A383" s="14"/>
      <c r="B383" s="15" t="s">
        <v>40</v>
      </c>
      <c r="C383" s="16" t="s">
        <v>7</v>
      </c>
      <c r="D383" s="17">
        <v>0.12</v>
      </c>
      <c r="E383" s="18">
        <f>'HARGA BAHAN'!E4</f>
        <v>125000</v>
      </c>
      <c r="F383" s="19">
        <f>+D383*E383</f>
        <v>15000</v>
      </c>
    </row>
    <row r="384" spans="1:6" x14ac:dyDescent="0.25">
      <c r="A384" s="14"/>
      <c r="B384" s="20" t="s">
        <v>86</v>
      </c>
      <c r="C384" s="21" t="s">
        <v>7</v>
      </c>
      <c r="D384" s="22">
        <v>0.06</v>
      </c>
      <c r="E384" s="18">
        <f>'HARGA BAHAN'!E5</f>
        <v>160000</v>
      </c>
      <c r="F384" s="19">
        <f>+D384*E384</f>
        <v>9600</v>
      </c>
    </row>
    <row r="385" spans="1:6" x14ac:dyDescent="0.25">
      <c r="A385" s="14"/>
      <c r="B385" s="15" t="s">
        <v>87</v>
      </c>
      <c r="C385" s="16" t="s">
        <v>7</v>
      </c>
      <c r="D385" s="17">
        <v>6.0000000000000001E-3</v>
      </c>
      <c r="E385" s="18">
        <f>'HARGA BAHAN'!E6</f>
        <v>180000</v>
      </c>
      <c r="F385" s="19">
        <f>+D385*E385</f>
        <v>1080</v>
      </c>
    </row>
    <row r="386" spans="1:6" ht="14.4" thickBot="1" x14ac:dyDescent="0.3">
      <c r="A386" s="24"/>
      <c r="B386" s="25" t="s">
        <v>42</v>
      </c>
      <c r="C386" s="26" t="s">
        <v>7</v>
      </c>
      <c r="D386" s="27">
        <v>6.0000000000000001E-3</v>
      </c>
      <c r="E386" s="18">
        <f>'HARGA BAHAN'!E7</f>
        <v>175000</v>
      </c>
      <c r="F386" s="19">
        <f>+D386*E386</f>
        <v>1050</v>
      </c>
    </row>
    <row r="387" spans="1:6" ht="14.4" thickBot="1" x14ac:dyDescent="0.3">
      <c r="A387" s="28"/>
      <c r="B387" s="29"/>
      <c r="C387" s="30"/>
      <c r="D387" s="31" t="s">
        <v>8</v>
      </c>
      <c r="E387" s="32"/>
      <c r="F387" s="33">
        <f>SUM(F383:F386)</f>
        <v>26730</v>
      </c>
    </row>
    <row r="388" spans="1:6" x14ac:dyDescent="0.25">
      <c r="A388" s="34" t="s">
        <v>9</v>
      </c>
      <c r="B388" s="35" t="s">
        <v>77</v>
      </c>
      <c r="C388" s="36"/>
      <c r="D388" s="36"/>
      <c r="E388" s="36"/>
      <c r="F388" s="37"/>
    </row>
    <row r="389" spans="1:6" x14ac:dyDescent="0.25">
      <c r="A389" s="38"/>
      <c r="B389" s="39" t="s">
        <v>179</v>
      </c>
      <c r="C389" s="40" t="s">
        <v>181</v>
      </c>
      <c r="D389" s="41">
        <v>1.02</v>
      </c>
      <c r="E389" s="42">
        <f>'HARGA BAHAN'!E61</f>
        <v>55200</v>
      </c>
      <c r="F389" s="19">
        <f>+D389*E389</f>
        <v>56304</v>
      </c>
    </row>
    <row r="390" spans="1:6" ht="14.4" thickBot="1" x14ac:dyDescent="0.3">
      <c r="A390" s="79"/>
      <c r="B390" s="80" t="s">
        <v>180</v>
      </c>
      <c r="C390" s="81" t="s">
        <v>159</v>
      </c>
      <c r="D390" s="82">
        <v>9</v>
      </c>
      <c r="E390" s="83">
        <f>'HARGA BAHAN'!E79</f>
        <v>550</v>
      </c>
      <c r="F390" s="74">
        <f>+D390*E390</f>
        <v>4950</v>
      </c>
    </row>
    <row r="391" spans="1:6" ht="14.4" thickBot="1" x14ac:dyDescent="0.3">
      <c r="A391" s="28"/>
      <c r="B391" s="44"/>
      <c r="C391" s="44"/>
      <c r="D391" s="45" t="s">
        <v>10</v>
      </c>
      <c r="E391" s="44"/>
      <c r="F391" s="33">
        <f>SUM(F389:F390)</f>
        <v>61254</v>
      </c>
    </row>
    <row r="392" spans="1:6" x14ac:dyDescent="0.25">
      <c r="A392" s="34" t="s">
        <v>11</v>
      </c>
      <c r="B392" s="35" t="s">
        <v>78</v>
      </c>
      <c r="C392" s="36"/>
      <c r="D392" s="36"/>
      <c r="E392" s="36"/>
      <c r="F392" s="37"/>
    </row>
    <row r="393" spans="1:6" ht="14.4" thickBot="1" x14ac:dyDescent="0.3">
      <c r="A393" s="46"/>
      <c r="B393" s="47"/>
      <c r="C393" s="48"/>
      <c r="D393" s="49"/>
      <c r="E393" s="50"/>
      <c r="F393" s="51"/>
    </row>
    <row r="394" spans="1:6" ht="14.4" thickBot="1" x14ac:dyDescent="0.3">
      <c r="A394" s="28"/>
      <c r="B394" s="29"/>
      <c r="C394" s="30"/>
      <c r="D394" s="31" t="s">
        <v>12</v>
      </c>
      <c r="E394" s="32"/>
      <c r="F394" s="33">
        <f>SUM(F393)</f>
        <v>0</v>
      </c>
    </row>
    <row r="395" spans="1:6" x14ac:dyDescent="0.25">
      <c r="A395" s="34" t="s">
        <v>13</v>
      </c>
      <c r="B395" s="35" t="s">
        <v>14</v>
      </c>
      <c r="C395" s="52"/>
      <c r="D395" s="52"/>
      <c r="E395" s="53"/>
      <c r="F395" s="54">
        <f>+F387+F391+F394</f>
        <v>87984</v>
      </c>
    </row>
    <row r="396" spans="1:6" x14ac:dyDescent="0.25">
      <c r="A396" s="10" t="s">
        <v>15</v>
      </c>
      <c r="B396" s="11" t="s">
        <v>51</v>
      </c>
      <c r="C396" s="55"/>
      <c r="D396" s="55"/>
      <c r="E396" s="56"/>
      <c r="F396" s="57">
        <f>F395*15%</f>
        <v>13197.6</v>
      </c>
    </row>
    <row r="397" spans="1:6" ht="14.4" thickBot="1" x14ac:dyDescent="0.3">
      <c r="A397" s="58" t="s">
        <v>16</v>
      </c>
      <c r="B397" s="59" t="s">
        <v>17</v>
      </c>
      <c r="C397" s="60"/>
      <c r="D397" s="60"/>
      <c r="E397" s="61"/>
      <c r="F397" s="62">
        <f>SUM(F395:F396)</f>
        <v>101181.6</v>
      </c>
    </row>
    <row r="399" spans="1:6" ht="14.4" thickBot="1" x14ac:dyDescent="0.3">
      <c r="A399" s="160" t="s">
        <v>569</v>
      </c>
      <c r="B399" s="161" t="s">
        <v>570</v>
      </c>
      <c r="C399" s="162"/>
      <c r="D399" s="162"/>
      <c r="E399" s="162"/>
      <c r="F399" s="162"/>
    </row>
    <row r="400" spans="1:6" ht="28.2" thickBot="1" x14ac:dyDescent="0.3">
      <c r="A400" s="163" t="s">
        <v>2</v>
      </c>
      <c r="B400" s="164" t="s">
        <v>3</v>
      </c>
      <c r="C400" s="164" t="s">
        <v>0</v>
      </c>
      <c r="D400" s="164" t="s">
        <v>4</v>
      </c>
      <c r="E400" s="164" t="s">
        <v>5</v>
      </c>
      <c r="F400" s="165" t="s">
        <v>6</v>
      </c>
    </row>
    <row r="401" spans="1:10" x14ac:dyDescent="0.25">
      <c r="A401" s="166">
        <v>1</v>
      </c>
      <c r="B401" s="167">
        <v>2</v>
      </c>
      <c r="C401" s="167">
        <v>3</v>
      </c>
      <c r="D401" s="167">
        <v>4</v>
      </c>
      <c r="E401" s="167">
        <v>5</v>
      </c>
      <c r="F401" s="168">
        <v>6</v>
      </c>
    </row>
    <row r="402" spans="1:10" x14ac:dyDescent="0.25">
      <c r="A402" s="169" t="s">
        <v>1</v>
      </c>
      <c r="B402" s="170" t="s">
        <v>76</v>
      </c>
      <c r="C402" s="171"/>
      <c r="D402" s="171"/>
      <c r="E402" s="171"/>
      <c r="F402" s="172"/>
    </row>
    <row r="403" spans="1:10" x14ac:dyDescent="0.25">
      <c r="A403" s="173"/>
      <c r="B403" s="174" t="s">
        <v>40</v>
      </c>
      <c r="C403" s="175" t="s">
        <v>7</v>
      </c>
      <c r="D403" s="176">
        <v>0.12</v>
      </c>
      <c r="E403" s="177">
        <f>'HARGA BAHAN'!E4</f>
        <v>125000</v>
      </c>
      <c r="F403" s="178">
        <f>+D403*E403</f>
        <v>15000</v>
      </c>
    </row>
    <row r="404" spans="1:10" x14ac:dyDescent="0.25">
      <c r="A404" s="173"/>
      <c r="B404" s="179" t="s">
        <v>86</v>
      </c>
      <c r="C404" s="180" t="s">
        <v>7</v>
      </c>
      <c r="D404" s="181">
        <v>0.06</v>
      </c>
      <c r="E404" s="177">
        <f>'HARGA BAHAN'!E5</f>
        <v>160000</v>
      </c>
      <c r="F404" s="178">
        <f>+D404*E404</f>
        <v>9600</v>
      </c>
    </row>
    <row r="405" spans="1:10" x14ac:dyDescent="0.25">
      <c r="A405" s="173"/>
      <c r="B405" s="174" t="s">
        <v>87</v>
      </c>
      <c r="C405" s="175" t="s">
        <v>7</v>
      </c>
      <c r="D405" s="176">
        <v>6.0000000000000001E-3</v>
      </c>
      <c r="E405" s="177">
        <f>'HARGA BAHAN'!E6</f>
        <v>180000</v>
      </c>
      <c r="F405" s="178">
        <f>+D405*E405</f>
        <v>1080</v>
      </c>
    </row>
    <row r="406" spans="1:10" ht="14.4" thickBot="1" x14ac:dyDescent="0.3">
      <c r="A406" s="182"/>
      <c r="B406" s="183" t="s">
        <v>42</v>
      </c>
      <c r="C406" s="184" t="s">
        <v>7</v>
      </c>
      <c r="D406" s="185">
        <v>6.0000000000000001E-3</v>
      </c>
      <c r="E406" s="177">
        <f>'HARGA BAHAN'!E7</f>
        <v>175000</v>
      </c>
      <c r="F406" s="178">
        <f>+D406*E406</f>
        <v>1050</v>
      </c>
      <c r="J406" s="1">
        <f>2*0.95</f>
        <v>1.9</v>
      </c>
    </row>
    <row r="407" spans="1:10" ht="14.4" thickBot="1" x14ac:dyDescent="0.3">
      <c r="A407" s="186"/>
      <c r="B407" s="187"/>
      <c r="C407" s="188"/>
      <c r="D407" s="189" t="s">
        <v>8</v>
      </c>
      <c r="E407" s="190"/>
      <c r="F407" s="191">
        <f>SUM(F403:F406)</f>
        <v>26730</v>
      </c>
      <c r="J407" s="1">
        <f>J406*0.58</f>
        <v>1.1019999999999999</v>
      </c>
    </row>
    <row r="408" spans="1:10" x14ac:dyDescent="0.25">
      <c r="A408" s="192" t="s">
        <v>9</v>
      </c>
      <c r="B408" s="193" t="s">
        <v>77</v>
      </c>
      <c r="C408" s="194"/>
      <c r="D408" s="194"/>
      <c r="E408" s="194"/>
      <c r="F408" s="195"/>
    </row>
    <row r="409" spans="1:10" x14ac:dyDescent="0.25">
      <c r="A409" s="196"/>
      <c r="B409" s="197" t="s">
        <v>571</v>
      </c>
      <c r="C409" s="198" t="s">
        <v>248</v>
      </c>
      <c r="D409" s="388">
        <v>0.57999999999999996</v>
      </c>
      <c r="E409" s="200">
        <f>'HARGA BAHAN'!E62</f>
        <v>383500</v>
      </c>
      <c r="F409" s="178">
        <f>+D409*E409</f>
        <v>222429.99999999997</v>
      </c>
    </row>
    <row r="410" spans="1:10" ht="14.4" thickBot="1" x14ac:dyDescent="0.3">
      <c r="A410" s="378"/>
      <c r="B410" s="379" t="s">
        <v>180</v>
      </c>
      <c r="C410" s="380" t="s">
        <v>159</v>
      </c>
      <c r="D410" s="381">
        <v>9</v>
      </c>
      <c r="E410" s="382">
        <f>'HARGA BAHAN'!E79</f>
        <v>550</v>
      </c>
      <c r="F410" s="383">
        <f>+D410*E410</f>
        <v>4950</v>
      </c>
    </row>
    <row r="411" spans="1:10" ht="14.4" thickBot="1" x14ac:dyDescent="0.3">
      <c r="A411" s="186"/>
      <c r="B411" s="205"/>
      <c r="C411" s="205"/>
      <c r="D411" s="206" t="s">
        <v>10</v>
      </c>
      <c r="E411" s="205"/>
      <c r="F411" s="191">
        <f>SUM(F409:F410)</f>
        <v>227379.99999999997</v>
      </c>
    </row>
    <row r="412" spans="1:10" x14ac:dyDescent="0.25">
      <c r="A412" s="192" t="s">
        <v>11</v>
      </c>
      <c r="B412" s="193" t="s">
        <v>78</v>
      </c>
      <c r="C412" s="194"/>
      <c r="D412" s="194"/>
      <c r="E412" s="194"/>
      <c r="F412" s="195"/>
    </row>
    <row r="413" spans="1:10" ht="14.4" thickBot="1" x14ac:dyDescent="0.3">
      <c r="A413" s="207"/>
      <c r="B413" s="208"/>
      <c r="C413" s="209"/>
      <c r="D413" s="210"/>
      <c r="E413" s="211"/>
      <c r="F413" s="212"/>
    </row>
    <row r="414" spans="1:10" ht="14.4" thickBot="1" x14ac:dyDescent="0.3">
      <c r="A414" s="186"/>
      <c r="B414" s="187"/>
      <c r="C414" s="188"/>
      <c r="D414" s="189" t="s">
        <v>12</v>
      </c>
      <c r="E414" s="190"/>
      <c r="F414" s="191">
        <f>SUM(F413)</f>
        <v>0</v>
      </c>
    </row>
    <row r="415" spans="1:10" x14ac:dyDescent="0.25">
      <c r="A415" s="192" t="s">
        <v>13</v>
      </c>
      <c r="B415" s="193" t="s">
        <v>14</v>
      </c>
      <c r="C415" s="213"/>
      <c r="D415" s="213"/>
      <c r="E415" s="214"/>
      <c r="F415" s="215">
        <f>+F407+F411+F414</f>
        <v>254109.99999999997</v>
      </c>
    </row>
    <row r="416" spans="1:10" x14ac:dyDescent="0.25">
      <c r="A416" s="169" t="s">
        <v>15</v>
      </c>
      <c r="B416" s="170" t="s">
        <v>51</v>
      </c>
      <c r="C416" s="216"/>
      <c r="D416" s="216"/>
      <c r="E416" s="217"/>
      <c r="F416" s="218">
        <f>F415*15%</f>
        <v>38116.499999999993</v>
      </c>
    </row>
    <row r="417" spans="1:6" ht="14.4" thickBot="1" x14ac:dyDescent="0.3">
      <c r="A417" s="219" t="s">
        <v>16</v>
      </c>
      <c r="B417" s="220" t="s">
        <v>17</v>
      </c>
      <c r="C417" s="221"/>
      <c r="D417" s="221"/>
      <c r="E417" s="222"/>
      <c r="F417" s="223">
        <f>SUM(F415:F416)</f>
        <v>292226.49999999994</v>
      </c>
    </row>
    <row r="419" spans="1:6" ht="14.4" thickBot="1" x14ac:dyDescent="0.3">
      <c r="A419" s="160" t="s">
        <v>664</v>
      </c>
      <c r="B419" s="161" t="s">
        <v>662</v>
      </c>
      <c r="C419" s="162"/>
      <c r="D419" s="162"/>
      <c r="E419" s="162"/>
      <c r="F419" s="162"/>
    </row>
    <row r="420" spans="1:6" ht="28.2" thickBot="1" x14ac:dyDescent="0.3">
      <c r="A420" s="163" t="s">
        <v>2</v>
      </c>
      <c r="B420" s="164" t="s">
        <v>3</v>
      </c>
      <c r="C420" s="164" t="s">
        <v>0</v>
      </c>
      <c r="D420" s="164" t="s">
        <v>4</v>
      </c>
      <c r="E420" s="164" t="s">
        <v>5</v>
      </c>
      <c r="F420" s="165" t="s">
        <v>6</v>
      </c>
    </row>
    <row r="421" spans="1:6" x14ac:dyDescent="0.25">
      <c r="A421" s="166">
        <v>1</v>
      </c>
      <c r="B421" s="167">
        <v>2</v>
      </c>
      <c r="C421" s="167">
        <v>3</v>
      </c>
      <c r="D421" s="167">
        <v>4</v>
      </c>
      <c r="E421" s="167">
        <v>5</v>
      </c>
      <c r="F421" s="168">
        <v>6</v>
      </c>
    </row>
    <row r="422" spans="1:6" x14ac:dyDescent="0.25">
      <c r="A422" s="169" t="s">
        <v>1</v>
      </c>
      <c r="B422" s="170" t="s">
        <v>76</v>
      </c>
      <c r="C422" s="171"/>
      <c r="D422" s="171"/>
      <c r="E422" s="171"/>
      <c r="F422" s="172"/>
    </row>
    <row r="423" spans="1:6" x14ac:dyDescent="0.25">
      <c r="A423" s="173"/>
      <c r="B423" s="174" t="s">
        <v>40</v>
      </c>
      <c r="C423" s="175" t="s">
        <v>7</v>
      </c>
      <c r="D423" s="176">
        <v>0.25</v>
      </c>
      <c r="E423" s="177">
        <f>'HARGA BAHAN'!E4</f>
        <v>125000</v>
      </c>
      <c r="F423" s="178">
        <f>+D423*E423</f>
        <v>31250</v>
      </c>
    </row>
    <row r="424" spans="1:6" x14ac:dyDescent="0.25">
      <c r="A424" s="173"/>
      <c r="B424" s="179" t="s">
        <v>86</v>
      </c>
      <c r="C424" s="180" t="s">
        <v>7</v>
      </c>
      <c r="D424" s="181">
        <v>0.15</v>
      </c>
      <c r="E424" s="177">
        <f>'HARGA BAHAN'!E5</f>
        <v>160000</v>
      </c>
      <c r="F424" s="178">
        <f>+D424*E424</f>
        <v>24000</v>
      </c>
    </row>
    <row r="425" spans="1:6" x14ac:dyDescent="0.25">
      <c r="A425" s="173"/>
      <c r="B425" s="174" t="s">
        <v>87</v>
      </c>
      <c r="C425" s="175" t="s">
        <v>7</v>
      </c>
      <c r="D425" s="176">
        <v>1.4999999999999999E-2</v>
      </c>
      <c r="E425" s="177">
        <f>'HARGA BAHAN'!E6</f>
        <v>180000</v>
      </c>
      <c r="F425" s="178">
        <f>+D425*E425</f>
        <v>2700</v>
      </c>
    </row>
    <row r="426" spans="1:6" ht="14.4" thickBot="1" x14ac:dyDescent="0.3">
      <c r="A426" s="182"/>
      <c r="B426" s="183" t="s">
        <v>42</v>
      </c>
      <c r="C426" s="184" t="s">
        <v>7</v>
      </c>
      <c r="D426" s="185">
        <v>1.4999999999999999E-2</v>
      </c>
      <c r="E426" s="177">
        <f>'HARGA BAHAN'!E7</f>
        <v>175000</v>
      </c>
      <c r="F426" s="178">
        <f>+D426*E426</f>
        <v>2625</v>
      </c>
    </row>
    <row r="427" spans="1:6" ht="14.4" thickBot="1" x14ac:dyDescent="0.3">
      <c r="A427" s="186"/>
      <c r="B427" s="187"/>
      <c r="C427" s="188"/>
      <c r="D427" s="189" t="s">
        <v>8</v>
      </c>
      <c r="E427" s="190"/>
      <c r="F427" s="191">
        <f>SUM(F423:F426)</f>
        <v>60575</v>
      </c>
    </row>
    <row r="428" spans="1:6" x14ac:dyDescent="0.25">
      <c r="A428" s="192" t="s">
        <v>9</v>
      </c>
      <c r="B428" s="193" t="s">
        <v>77</v>
      </c>
      <c r="C428" s="194"/>
      <c r="D428" s="194"/>
      <c r="E428" s="194"/>
      <c r="F428" s="195"/>
    </row>
    <row r="429" spans="1:6" x14ac:dyDescent="0.25">
      <c r="A429" s="196"/>
      <c r="B429" s="197" t="s">
        <v>663</v>
      </c>
      <c r="C429" s="198" t="s">
        <v>248</v>
      </c>
      <c r="D429" s="388">
        <v>1</v>
      </c>
      <c r="E429" s="200">
        <f>'HARGA BAHAN'!E63</f>
        <v>150000</v>
      </c>
      <c r="F429" s="178">
        <f>+D429*E429</f>
        <v>150000</v>
      </c>
    </row>
    <row r="430" spans="1:6" ht="14.4" thickBot="1" x14ac:dyDescent="0.3">
      <c r="A430" s="378"/>
      <c r="B430" s="379" t="s">
        <v>180</v>
      </c>
      <c r="C430" s="380" t="s">
        <v>159</v>
      </c>
      <c r="D430" s="381">
        <v>8</v>
      </c>
      <c r="E430" s="382">
        <f>'HARGA BAHAN'!E79</f>
        <v>550</v>
      </c>
      <c r="F430" s="383">
        <f>+D430*E430</f>
        <v>4400</v>
      </c>
    </row>
    <row r="431" spans="1:6" ht="14.4" thickBot="1" x14ac:dyDescent="0.3">
      <c r="A431" s="186"/>
      <c r="B431" s="205"/>
      <c r="C431" s="205"/>
      <c r="D431" s="206" t="s">
        <v>10</v>
      </c>
      <c r="E431" s="205"/>
      <c r="F431" s="191">
        <f>SUM(F429:F430)</f>
        <v>154400</v>
      </c>
    </row>
    <row r="432" spans="1:6" x14ac:dyDescent="0.25">
      <c r="A432" s="192" t="s">
        <v>11</v>
      </c>
      <c r="B432" s="193" t="s">
        <v>78</v>
      </c>
      <c r="C432" s="194"/>
      <c r="D432" s="194"/>
      <c r="E432" s="194"/>
      <c r="F432" s="195"/>
    </row>
    <row r="433" spans="1:6" ht="14.4" thickBot="1" x14ac:dyDescent="0.3">
      <c r="A433" s="207"/>
      <c r="B433" s="208"/>
      <c r="C433" s="209"/>
      <c r="D433" s="210"/>
      <c r="E433" s="211"/>
      <c r="F433" s="212"/>
    </row>
    <row r="434" spans="1:6" ht="14.4" thickBot="1" x14ac:dyDescent="0.3">
      <c r="A434" s="186"/>
      <c r="B434" s="187"/>
      <c r="C434" s="188"/>
      <c r="D434" s="189" t="s">
        <v>12</v>
      </c>
      <c r="E434" s="190"/>
      <c r="F434" s="191">
        <f>SUM(F433)</f>
        <v>0</v>
      </c>
    </row>
    <row r="435" spans="1:6" x14ac:dyDescent="0.25">
      <c r="A435" s="192" t="s">
        <v>13</v>
      </c>
      <c r="B435" s="193" t="s">
        <v>14</v>
      </c>
      <c r="C435" s="213"/>
      <c r="D435" s="213"/>
      <c r="E435" s="214"/>
      <c r="F435" s="215">
        <f>+F427+F431+F434</f>
        <v>214975</v>
      </c>
    </row>
    <row r="436" spans="1:6" x14ac:dyDescent="0.25">
      <c r="A436" s="169" t="s">
        <v>15</v>
      </c>
      <c r="B436" s="170" t="s">
        <v>51</v>
      </c>
      <c r="C436" s="216"/>
      <c r="D436" s="216"/>
      <c r="E436" s="217"/>
      <c r="F436" s="218">
        <f>F435*15%</f>
        <v>32246.25</v>
      </c>
    </row>
    <row r="437" spans="1:6" ht="14.4" thickBot="1" x14ac:dyDescent="0.3">
      <c r="A437" s="219" t="s">
        <v>16</v>
      </c>
      <c r="B437" s="220" t="s">
        <v>17</v>
      </c>
      <c r="C437" s="221"/>
      <c r="D437" s="221"/>
      <c r="E437" s="222"/>
      <c r="F437" s="223">
        <f>SUM(F435:F436)</f>
        <v>247221.25</v>
      </c>
    </row>
    <row r="439" spans="1:6" ht="14.4" thickBot="1" x14ac:dyDescent="0.3">
      <c r="A439" s="160" t="s">
        <v>553</v>
      </c>
      <c r="B439" s="161" t="s">
        <v>554</v>
      </c>
      <c r="C439" s="162"/>
      <c r="D439" s="162"/>
      <c r="E439" s="162"/>
      <c r="F439" s="162"/>
    </row>
    <row r="440" spans="1:6" ht="28.2" thickBot="1" x14ac:dyDescent="0.3">
      <c r="A440" s="163" t="s">
        <v>2</v>
      </c>
      <c r="B440" s="164" t="s">
        <v>3</v>
      </c>
      <c r="C440" s="164" t="s">
        <v>0</v>
      </c>
      <c r="D440" s="164" t="s">
        <v>4</v>
      </c>
      <c r="E440" s="164" t="s">
        <v>5</v>
      </c>
      <c r="F440" s="165" t="s">
        <v>6</v>
      </c>
    </row>
    <row r="441" spans="1:6" x14ac:dyDescent="0.25">
      <c r="A441" s="166">
        <v>1</v>
      </c>
      <c r="B441" s="167">
        <v>2</v>
      </c>
      <c r="C441" s="167">
        <v>3</v>
      </c>
      <c r="D441" s="167">
        <v>4</v>
      </c>
      <c r="E441" s="167">
        <v>5</v>
      </c>
      <c r="F441" s="168">
        <v>6</v>
      </c>
    </row>
    <row r="442" spans="1:6" x14ac:dyDescent="0.25">
      <c r="A442" s="169" t="s">
        <v>1</v>
      </c>
      <c r="B442" s="170" t="s">
        <v>76</v>
      </c>
      <c r="C442" s="171"/>
      <c r="D442" s="171"/>
      <c r="E442" s="171"/>
      <c r="F442" s="172"/>
    </row>
    <row r="443" spans="1:6" x14ac:dyDescent="0.25">
      <c r="A443" s="173"/>
      <c r="B443" s="174" t="s">
        <v>40</v>
      </c>
      <c r="C443" s="175" t="s">
        <v>7</v>
      </c>
      <c r="D443" s="176">
        <v>0.12</v>
      </c>
      <c r="E443" s="177">
        <f>'HARGA BAHAN'!E4</f>
        <v>125000</v>
      </c>
      <c r="F443" s="178">
        <f>+D443*E443</f>
        <v>15000</v>
      </c>
    </row>
    <row r="444" spans="1:6" x14ac:dyDescent="0.25">
      <c r="A444" s="173"/>
      <c r="B444" s="179" t="s">
        <v>86</v>
      </c>
      <c r="C444" s="180" t="s">
        <v>7</v>
      </c>
      <c r="D444" s="181">
        <v>0.06</v>
      </c>
      <c r="E444" s="177">
        <f>'HARGA BAHAN'!E5</f>
        <v>160000</v>
      </c>
      <c r="F444" s="178">
        <f>+D444*E444</f>
        <v>9600</v>
      </c>
    </row>
    <row r="445" spans="1:6" x14ac:dyDescent="0.25">
      <c r="A445" s="173"/>
      <c r="B445" s="174" t="s">
        <v>87</v>
      </c>
      <c r="C445" s="175" t="s">
        <v>7</v>
      </c>
      <c r="D445" s="176">
        <v>6.0000000000000001E-3</v>
      </c>
      <c r="E445" s="177">
        <f>'HARGA BAHAN'!E6</f>
        <v>180000</v>
      </c>
      <c r="F445" s="178">
        <f>+D445*E445</f>
        <v>1080</v>
      </c>
    </row>
    <row r="446" spans="1:6" ht="14.4" thickBot="1" x14ac:dyDescent="0.3">
      <c r="A446" s="182"/>
      <c r="B446" s="183" t="s">
        <v>42</v>
      </c>
      <c r="C446" s="184" t="s">
        <v>7</v>
      </c>
      <c r="D446" s="185">
        <v>6.0000000000000001E-3</v>
      </c>
      <c r="E446" s="177">
        <f>'HARGA BAHAN'!E7</f>
        <v>175000</v>
      </c>
      <c r="F446" s="178">
        <f>+D446*E446</f>
        <v>1050</v>
      </c>
    </row>
    <row r="447" spans="1:6" ht="14.4" thickBot="1" x14ac:dyDescent="0.3">
      <c r="A447" s="186"/>
      <c r="B447" s="187"/>
      <c r="C447" s="188"/>
      <c r="D447" s="189" t="s">
        <v>8</v>
      </c>
      <c r="E447" s="190"/>
      <c r="F447" s="191">
        <f>SUM(F443:F446)</f>
        <v>26730</v>
      </c>
    </row>
    <row r="448" spans="1:6" x14ac:dyDescent="0.25">
      <c r="A448" s="192" t="s">
        <v>9</v>
      </c>
      <c r="B448" s="193" t="s">
        <v>77</v>
      </c>
      <c r="C448" s="194"/>
      <c r="D448" s="194"/>
      <c r="E448" s="194"/>
      <c r="F448" s="195"/>
    </row>
    <row r="449" spans="1:6" ht="14.4" thickBot="1" x14ac:dyDescent="0.3">
      <c r="A449" s="196"/>
      <c r="B449" s="197" t="s">
        <v>530</v>
      </c>
      <c r="C449" s="198" t="s">
        <v>181</v>
      </c>
      <c r="D449" s="388">
        <v>1.05</v>
      </c>
      <c r="E449" s="200">
        <f>'HARGA BAHAN'!E69</f>
        <v>12166.666666666666</v>
      </c>
      <c r="F449" s="178">
        <f>+D449*E449</f>
        <v>12775</v>
      </c>
    </row>
    <row r="450" spans="1:6" ht="14.4" thickBot="1" x14ac:dyDescent="0.3">
      <c r="A450" s="186"/>
      <c r="B450" s="205"/>
      <c r="C450" s="205"/>
      <c r="D450" s="206" t="s">
        <v>10</v>
      </c>
      <c r="E450" s="205"/>
      <c r="F450" s="191">
        <f>SUM(F449:F449)</f>
        <v>12775</v>
      </c>
    </row>
    <row r="451" spans="1:6" x14ac:dyDescent="0.25">
      <c r="A451" s="192" t="s">
        <v>11</v>
      </c>
      <c r="B451" s="193" t="s">
        <v>78</v>
      </c>
      <c r="C451" s="194"/>
      <c r="D451" s="194"/>
      <c r="E451" s="194"/>
      <c r="F451" s="195"/>
    </row>
    <row r="452" spans="1:6" ht="14.4" thickBot="1" x14ac:dyDescent="0.3">
      <c r="A452" s="207"/>
      <c r="B452" s="208"/>
      <c r="C452" s="209"/>
      <c r="D452" s="210"/>
      <c r="E452" s="211"/>
      <c r="F452" s="212"/>
    </row>
    <row r="453" spans="1:6" ht="14.4" thickBot="1" x14ac:dyDescent="0.3">
      <c r="A453" s="186"/>
      <c r="B453" s="187"/>
      <c r="C453" s="188"/>
      <c r="D453" s="189" t="s">
        <v>12</v>
      </c>
      <c r="E453" s="190"/>
      <c r="F453" s="191">
        <f>SUM(F452)</f>
        <v>0</v>
      </c>
    </row>
    <row r="454" spans="1:6" x14ac:dyDescent="0.25">
      <c r="A454" s="192" t="s">
        <v>13</v>
      </c>
      <c r="B454" s="193" t="s">
        <v>14</v>
      </c>
      <c r="C454" s="213"/>
      <c r="D454" s="213"/>
      <c r="E454" s="214"/>
      <c r="F454" s="215">
        <f>+F447+F450+F453</f>
        <v>39505</v>
      </c>
    </row>
    <row r="455" spans="1:6" x14ac:dyDescent="0.25">
      <c r="A455" s="169" t="s">
        <v>15</v>
      </c>
      <c r="B455" s="170" t="s">
        <v>51</v>
      </c>
      <c r="C455" s="216"/>
      <c r="D455" s="216"/>
      <c r="E455" s="217"/>
      <c r="F455" s="218">
        <f>F454*15%</f>
        <v>5925.75</v>
      </c>
    </row>
    <row r="456" spans="1:6" ht="14.4" thickBot="1" x14ac:dyDescent="0.3">
      <c r="A456" s="219" t="s">
        <v>16</v>
      </c>
      <c r="B456" s="220" t="s">
        <v>17</v>
      </c>
      <c r="C456" s="221"/>
      <c r="D456" s="221"/>
      <c r="E456" s="222"/>
      <c r="F456" s="223">
        <f>SUM(F454:F455)</f>
        <v>45430.75</v>
      </c>
    </row>
    <row r="458" spans="1:6" ht="14.4" thickBot="1" x14ac:dyDescent="0.3">
      <c r="A458" s="160" t="s">
        <v>562</v>
      </c>
      <c r="B458" s="161" t="s">
        <v>560</v>
      </c>
      <c r="C458" s="162"/>
      <c r="D458" s="162"/>
      <c r="E458" s="162"/>
      <c r="F458" s="162"/>
    </row>
    <row r="459" spans="1:6" ht="28.2" thickBot="1" x14ac:dyDescent="0.3">
      <c r="A459" s="163" t="s">
        <v>2</v>
      </c>
      <c r="B459" s="164" t="s">
        <v>3</v>
      </c>
      <c r="C459" s="164" t="s">
        <v>0</v>
      </c>
      <c r="D459" s="164" t="s">
        <v>4</v>
      </c>
      <c r="E459" s="164" t="s">
        <v>5</v>
      </c>
      <c r="F459" s="165" t="s">
        <v>6</v>
      </c>
    </row>
    <row r="460" spans="1:6" x14ac:dyDescent="0.25">
      <c r="A460" s="166">
        <v>1</v>
      </c>
      <c r="B460" s="167">
        <v>2</v>
      </c>
      <c r="C460" s="167">
        <v>3</v>
      </c>
      <c r="D460" s="167">
        <v>4</v>
      </c>
      <c r="E460" s="167">
        <v>5</v>
      </c>
      <c r="F460" s="168">
        <v>6</v>
      </c>
    </row>
    <row r="461" spans="1:6" x14ac:dyDescent="0.25">
      <c r="A461" s="169" t="s">
        <v>1</v>
      </c>
      <c r="B461" s="170" t="s">
        <v>76</v>
      </c>
      <c r="C461" s="171"/>
      <c r="D461" s="171"/>
      <c r="E461" s="171"/>
      <c r="F461" s="172"/>
    </row>
    <row r="462" spans="1:6" x14ac:dyDescent="0.25">
      <c r="A462" s="173"/>
      <c r="B462" s="174" t="s">
        <v>40</v>
      </c>
      <c r="C462" s="175" t="s">
        <v>7</v>
      </c>
      <c r="D462" s="176">
        <v>0.08</v>
      </c>
      <c r="E462" s="177">
        <f>'HARGA BAHAN'!E4</f>
        <v>125000</v>
      </c>
      <c r="F462" s="178">
        <f>+D462*E462</f>
        <v>10000</v>
      </c>
    </row>
    <row r="463" spans="1:6" x14ac:dyDescent="0.25">
      <c r="A463" s="173"/>
      <c r="B463" s="179" t="s">
        <v>86</v>
      </c>
      <c r="C463" s="180" t="s">
        <v>7</v>
      </c>
      <c r="D463" s="181">
        <v>0.04</v>
      </c>
      <c r="E463" s="177">
        <f>'HARGA BAHAN'!E5</f>
        <v>160000</v>
      </c>
      <c r="F463" s="178">
        <f>+D463*E463</f>
        <v>6400</v>
      </c>
    </row>
    <row r="464" spans="1:6" x14ac:dyDescent="0.25">
      <c r="A464" s="173"/>
      <c r="B464" s="174" t="s">
        <v>87</v>
      </c>
      <c r="C464" s="175" t="s">
        <v>7</v>
      </c>
      <c r="D464" s="176">
        <v>4.0000000000000001E-3</v>
      </c>
      <c r="E464" s="177">
        <f>'HARGA BAHAN'!E6</f>
        <v>180000</v>
      </c>
      <c r="F464" s="178">
        <f>+D464*E464</f>
        <v>720</v>
      </c>
    </row>
    <row r="465" spans="1:6" ht="14.4" thickBot="1" x14ac:dyDescent="0.3">
      <c r="A465" s="182"/>
      <c r="B465" s="183" t="s">
        <v>42</v>
      </c>
      <c r="C465" s="184" t="s">
        <v>7</v>
      </c>
      <c r="D465" s="185">
        <v>4.0000000000000001E-3</v>
      </c>
      <c r="E465" s="177">
        <f>'HARGA BAHAN'!E7</f>
        <v>175000</v>
      </c>
      <c r="F465" s="178">
        <f>+D465*E465</f>
        <v>700</v>
      </c>
    </row>
    <row r="466" spans="1:6" ht="14.4" thickBot="1" x14ac:dyDescent="0.3">
      <c r="A466" s="186"/>
      <c r="B466" s="187"/>
      <c r="C466" s="188"/>
      <c r="D466" s="189" t="s">
        <v>8</v>
      </c>
      <c r="E466" s="190"/>
      <c r="F466" s="191">
        <f>SUM(F462:F465)</f>
        <v>17820</v>
      </c>
    </row>
    <row r="467" spans="1:6" x14ac:dyDescent="0.25">
      <c r="A467" s="192" t="s">
        <v>9</v>
      </c>
      <c r="B467" s="193" t="s">
        <v>77</v>
      </c>
      <c r="C467" s="194"/>
      <c r="D467" s="194"/>
      <c r="E467" s="194"/>
      <c r="F467" s="195"/>
    </row>
    <row r="468" spans="1:6" ht="14.4" thickBot="1" x14ac:dyDescent="0.3">
      <c r="A468" s="196"/>
      <c r="B468" s="197" t="s">
        <v>561</v>
      </c>
      <c r="C468" s="198" t="s">
        <v>181</v>
      </c>
      <c r="D468" s="388">
        <v>1.05</v>
      </c>
      <c r="E468" s="200">
        <f>'HARGA BAHAN'!E66</f>
        <v>19850</v>
      </c>
      <c r="F468" s="178">
        <f>+D468*E468</f>
        <v>20842.5</v>
      </c>
    </row>
    <row r="469" spans="1:6" ht="14.4" thickBot="1" x14ac:dyDescent="0.3">
      <c r="A469" s="186"/>
      <c r="B469" s="205"/>
      <c r="C469" s="205"/>
      <c r="D469" s="206" t="s">
        <v>10</v>
      </c>
      <c r="E469" s="205"/>
      <c r="F469" s="191">
        <f>SUM(F468:F468)</f>
        <v>20842.5</v>
      </c>
    </row>
    <row r="470" spans="1:6" x14ac:dyDescent="0.25">
      <c r="A470" s="192" t="s">
        <v>11</v>
      </c>
      <c r="B470" s="193" t="s">
        <v>78</v>
      </c>
      <c r="C470" s="194"/>
      <c r="D470" s="194"/>
      <c r="E470" s="194"/>
      <c r="F470" s="195"/>
    </row>
    <row r="471" spans="1:6" ht="14.4" thickBot="1" x14ac:dyDescent="0.3">
      <c r="A471" s="207"/>
      <c r="B471" s="208"/>
      <c r="C471" s="209"/>
      <c r="D471" s="210"/>
      <c r="E471" s="211"/>
      <c r="F471" s="212"/>
    </row>
    <row r="472" spans="1:6" ht="14.4" thickBot="1" x14ac:dyDescent="0.3">
      <c r="A472" s="186"/>
      <c r="B472" s="187"/>
      <c r="C472" s="188"/>
      <c r="D472" s="189" t="s">
        <v>12</v>
      </c>
      <c r="E472" s="190"/>
      <c r="F472" s="191">
        <f>SUM(F471)</f>
        <v>0</v>
      </c>
    </row>
    <row r="473" spans="1:6" x14ac:dyDescent="0.25">
      <c r="A473" s="192" t="s">
        <v>13</v>
      </c>
      <c r="B473" s="193" t="s">
        <v>14</v>
      </c>
      <c r="C473" s="213"/>
      <c r="D473" s="213"/>
      <c r="E473" s="214"/>
      <c r="F473" s="215">
        <f>+F466+F469+F472</f>
        <v>38662.5</v>
      </c>
    </row>
    <row r="474" spans="1:6" x14ac:dyDescent="0.25">
      <c r="A474" s="169" t="s">
        <v>15</v>
      </c>
      <c r="B474" s="170" t="s">
        <v>51</v>
      </c>
      <c r="C474" s="216"/>
      <c r="D474" s="216"/>
      <c r="E474" s="217"/>
      <c r="F474" s="218">
        <f>F473*15%</f>
        <v>5799.375</v>
      </c>
    </row>
    <row r="475" spans="1:6" ht="14.4" thickBot="1" x14ac:dyDescent="0.3">
      <c r="A475" s="219" t="s">
        <v>16</v>
      </c>
      <c r="B475" s="220" t="s">
        <v>17</v>
      </c>
      <c r="C475" s="221"/>
      <c r="D475" s="221"/>
      <c r="E475" s="222"/>
      <c r="F475" s="223">
        <f>SUM(F473:F474)</f>
        <v>44461.875</v>
      </c>
    </row>
    <row r="477" spans="1:6" ht="14.4" thickBot="1" x14ac:dyDescent="0.3">
      <c r="A477" s="160" t="s">
        <v>557</v>
      </c>
      <c r="B477" s="161" t="s">
        <v>558</v>
      </c>
      <c r="C477" s="162"/>
      <c r="D477" s="162"/>
      <c r="E477" s="162"/>
      <c r="F477" s="162"/>
    </row>
    <row r="478" spans="1:6" ht="28.2" thickBot="1" x14ac:dyDescent="0.3">
      <c r="A478" s="163" t="s">
        <v>2</v>
      </c>
      <c r="B478" s="164" t="s">
        <v>3</v>
      </c>
      <c r="C478" s="164" t="s">
        <v>0</v>
      </c>
      <c r="D478" s="164" t="s">
        <v>4</v>
      </c>
      <c r="E478" s="164" t="s">
        <v>5</v>
      </c>
      <c r="F478" s="165" t="s">
        <v>6</v>
      </c>
    </row>
    <row r="479" spans="1:6" x14ac:dyDescent="0.25">
      <c r="A479" s="166">
        <v>1</v>
      </c>
      <c r="B479" s="167">
        <v>2</v>
      </c>
      <c r="C479" s="167">
        <v>3</v>
      </c>
      <c r="D479" s="167">
        <v>4</v>
      </c>
      <c r="E479" s="167">
        <v>5</v>
      </c>
      <c r="F479" s="168">
        <v>6</v>
      </c>
    </row>
    <row r="480" spans="1:6" x14ac:dyDescent="0.25">
      <c r="A480" s="169" t="s">
        <v>1</v>
      </c>
      <c r="B480" s="170" t="s">
        <v>76</v>
      </c>
      <c r="C480" s="171"/>
      <c r="D480" s="171"/>
      <c r="E480" s="171"/>
      <c r="F480" s="172"/>
    </row>
    <row r="481" spans="1:6" x14ac:dyDescent="0.25">
      <c r="A481" s="173"/>
      <c r="B481" s="174" t="s">
        <v>40</v>
      </c>
      <c r="C481" s="175" t="s">
        <v>7</v>
      </c>
      <c r="D481" s="176">
        <v>0.1</v>
      </c>
      <c r="E481" s="177">
        <f>'HARGA BAHAN'!E4</f>
        <v>125000</v>
      </c>
      <c r="F481" s="178">
        <f>+D481*E481</f>
        <v>12500</v>
      </c>
    </row>
    <row r="482" spans="1:6" x14ac:dyDescent="0.25">
      <c r="A482" s="173"/>
      <c r="B482" s="179" t="s">
        <v>86</v>
      </c>
      <c r="C482" s="180" t="s">
        <v>7</v>
      </c>
      <c r="D482" s="181">
        <v>0.05</v>
      </c>
      <c r="E482" s="177">
        <f>'HARGA BAHAN'!E5</f>
        <v>160000</v>
      </c>
      <c r="F482" s="178">
        <f>+D482*E482</f>
        <v>8000</v>
      </c>
    </row>
    <row r="483" spans="1:6" x14ac:dyDescent="0.25">
      <c r="A483" s="173"/>
      <c r="B483" s="174" t="s">
        <v>87</v>
      </c>
      <c r="C483" s="175" t="s">
        <v>7</v>
      </c>
      <c r="D483" s="176">
        <v>5.0000000000000001E-3</v>
      </c>
      <c r="E483" s="177">
        <f>'HARGA BAHAN'!E6</f>
        <v>180000</v>
      </c>
      <c r="F483" s="178">
        <f>+D483*E483</f>
        <v>900</v>
      </c>
    </row>
    <row r="484" spans="1:6" ht="14.4" thickBot="1" x14ac:dyDescent="0.3">
      <c r="A484" s="182"/>
      <c r="B484" s="183" t="s">
        <v>42</v>
      </c>
      <c r="C484" s="184" t="s">
        <v>7</v>
      </c>
      <c r="D484" s="185">
        <v>5.0000000000000001E-3</v>
      </c>
      <c r="E484" s="177">
        <f>'HARGA BAHAN'!E7</f>
        <v>175000</v>
      </c>
      <c r="F484" s="178">
        <f>+D484*E484</f>
        <v>875</v>
      </c>
    </row>
    <row r="485" spans="1:6" ht="14.4" thickBot="1" x14ac:dyDescent="0.3">
      <c r="A485" s="186"/>
      <c r="B485" s="187"/>
      <c r="C485" s="188"/>
      <c r="D485" s="189" t="s">
        <v>8</v>
      </c>
      <c r="E485" s="190"/>
      <c r="F485" s="191">
        <f>SUM(F481:F484)</f>
        <v>22275</v>
      </c>
    </row>
    <row r="486" spans="1:6" x14ac:dyDescent="0.25">
      <c r="A486" s="192" t="s">
        <v>9</v>
      </c>
      <c r="B486" s="193" t="s">
        <v>77</v>
      </c>
      <c r="C486" s="194"/>
      <c r="D486" s="194"/>
      <c r="E486" s="194"/>
      <c r="F486" s="195"/>
    </row>
    <row r="487" spans="1:6" x14ac:dyDescent="0.25">
      <c r="A487" s="196"/>
      <c r="B487" s="197" t="s">
        <v>559</v>
      </c>
      <c r="C487" s="198" t="s">
        <v>157</v>
      </c>
      <c r="D487" s="388">
        <v>1</v>
      </c>
      <c r="E487" s="200">
        <f>'HARGA BAHAN'!E59</f>
        <v>25000</v>
      </c>
      <c r="F487" s="178">
        <f>+D487*E487</f>
        <v>25000</v>
      </c>
    </row>
    <row r="488" spans="1:6" ht="14.4" thickBot="1" x14ac:dyDescent="0.3">
      <c r="A488" s="389"/>
      <c r="B488" s="390" t="s">
        <v>195</v>
      </c>
      <c r="C488" s="391" t="s">
        <v>188</v>
      </c>
      <c r="D488" s="392">
        <v>18</v>
      </c>
      <c r="E488" s="393">
        <f>'HARGA BAHAN'!E79</f>
        <v>550</v>
      </c>
      <c r="F488" s="178">
        <f>+D488*E488</f>
        <v>9900</v>
      </c>
    </row>
    <row r="489" spans="1:6" ht="14.4" thickBot="1" x14ac:dyDescent="0.3">
      <c r="A489" s="186"/>
      <c r="B489" s="205"/>
      <c r="C489" s="205"/>
      <c r="D489" s="206" t="s">
        <v>10</v>
      </c>
      <c r="E489" s="205"/>
      <c r="F489" s="191">
        <f>SUM(F487:F488)</f>
        <v>34900</v>
      </c>
    </row>
    <row r="490" spans="1:6" x14ac:dyDescent="0.25">
      <c r="A490" s="192" t="s">
        <v>11</v>
      </c>
      <c r="B490" s="193" t="s">
        <v>78</v>
      </c>
      <c r="C490" s="194"/>
      <c r="D490" s="194"/>
      <c r="E490" s="194"/>
      <c r="F490" s="195"/>
    </row>
    <row r="491" spans="1:6" ht="14.4" thickBot="1" x14ac:dyDescent="0.3">
      <c r="A491" s="207"/>
      <c r="B491" s="208"/>
      <c r="C491" s="209"/>
      <c r="D491" s="210"/>
      <c r="E491" s="211"/>
      <c r="F491" s="212"/>
    </row>
    <row r="492" spans="1:6" ht="14.4" thickBot="1" x14ac:dyDescent="0.3">
      <c r="A492" s="186"/>
      <c r="B492" s="187"/>
      <c r="C492" s="188"/>
      <c r="D492" s="189" t="s">
        <v>12</v>
      </c>
      <c r="E492" s="190"/>
      <c r="F492" s="191">
        <f>SUM(F491)</f>
        <v>0</v>
      </c>
    </row>
    <row r="493" spans="1:6" x14ac:dyDescent="0.25">
      <c r="A493" s="192" t="s">
        <v>13</v>
      </c>
      <c r="B493" s="193" t="s">
        <v>14</v>
      </c>
      <c r="C493" s="213"/>
      <c r="D493" s="213"/>
      <c r="E493" s="214"/>
      <c r="F493" s="215">
        <f>+F485+F489+F492</f>
        <v>57175</v>
      </c>
    </row>
    <row r="494" spans="1:6" x14ac:dyDescent="0.25">
      <c r="A494" s="169" t="s">
        <v>15</v>
      </c>
      <c r="B494" s="170" t="s">
        <v>51</v>
      </c>
      <c r="C494" s="216"/>
      <c r="D494" s="216"/>
      <c r="E494" s="217"/>
      <c r="F494" s="218">
        <f>F493*15%</f>
        <v>8576.25</v>
      </c>
    </row>
    <row r="495" spans="1:6" ht="14.4" thickBot="1" x14ac:dyDescent="0.3">
      <c r="A495" s="219" t="s">
        <v>16</v>
      </c>
      <c r="B495" s="220" t="s">
        <v>17</v>
      </c>
      <c r="C495" s="221"/>
      <c r="D495" s="221"/>
      <c r="E495" s="222"/>
      <c r="F495" s="223">
        <f>SUM(F493:F494)</f>
        <v>65751.25</v>
      </c>
    </row>
    <row r="497" spans="1:6" ht="14.4" thickBot="1" x14ac:dyDescent="0.3">
      <c r="A497" s="160" t="s">
        <v>579</v>
      </c>
      <c r="B497" s="161" t="s">
        <v>580</v>
      </c>
      <c r="C497" s="162"/>
      <c r="D497" s="162"/>
      <c r="E497" s="162"/>
      <c r="F497" s="162"/>
    </row>
    <row r="498" spans="1:6" ht="28.2" thickBot="1" x14ac:dyDescent="0.3">
      <c r="A498" s="163" t="s">
        <v>2</v>
      </c>
      <c r="B498" s="164" t="s">
        <v>3</v>
      </c>
      <c r="C498" s="164" t="s">
        <v>0</v>
      </c>
      <c r="D498" s="164" t="s">
        <v>4</v>
      </c>
      <c r="E498" s="164" t="s">
        <v>5</v>
      </c>
      <c r="F498" s="165" t="s">
        <v>6</v>
      </c>
    </row>
    <row r="499" spans="1:6" x14ac:dyDescent="0.25">
      <c r="A499" s="166">
        <v>1</v>
      </c>
      <c r="B499" s="167">
        <v>2</v>
      </c>
      <c r="C499" s="167">
        <v>3</v>
      </c>
      <c r="D499" s="167">
        <v>4</v>
      </c>
      <c r="E499" s="167">
        <v>5</v>
      </c>
      <c r="F499" s="168">
        <v>6</v>
      </c>
    </row>
    <row r="500" spans="1:6" x14ac:dyDescent="0.25">
      <c r="A500" s="169" t="s">
        <v>1</v>
      </c>
      <c r="B500" s="170" t="s">
        <v>76</v>
      </c>
      <c r="C500" s="171"/>
      <c r="D500" s="171"/>
      <c r="E500" s="171"/>
      <c r="F500" s="172"/>
    </row>
    <row r="501" spans="1:6" x14ac:dyDescent="0.25">
      <c r="A501" s="173"/>
      <c r="B501" s="174" t="s">
        <v>40</v>
      </c>
      <c r="C501" s="175" t="s">
        <v>7</v>
      </c>
      <c r="D501" s="176">
        <v>0.05</v>
      </c>
      <c r="E501" s="177">
        <f>'HARGA BAHAN'!E4</f>
        <v>125000</v>
      </c>
      <c r="F501" s="178">
        <f>+D501*E501</f>
        <v>6250</v>
      </c>
    </row>
    <row r="502" spans="1:6" x14ac:dyDescent="0.25">
      <c r="A502" s="173"/>
      <c r="B502" s="179" t="s">
        <v>86</v>
      </c>
      <c r="C502" s="180" t="s">
        <v>7</v>
      </c>
      <c r="D502" s="181">
        <v>0.05</v>
      </c>
      <c r="E502" s="177">
        <f>'HARGA BAHAN'!E5</f>
        <v>160000</v>
      </c>
      <c r="F502" s="178">
        <f>+D502*E502</f>
        <v>8000</v>
      </c>
    </row>
    <row r="503" spans="1:6" x14ac:dyDescent="0.25">
      <c r="A503" s="173"/>
      <c r="B503" s="174" t="s">
        <v>87</v>
      </c>
      <c r="C503" s="175" t="s">
        <v>7</v>
      </c>
      <c r="D503" s="176">
        <v>5.0000000000000001E-3</v>
      </c>
      <c r="E503" s="177">
        <f>'HARGA BAHAN'!E6</f>
        <v>180000</v>
      </c>
      <c r="F503" s="178">
        <f>+D503*E503</f>
        <v>900</v>
      </c>
    </row>
    <row r="504" spans="1:6" ht="14.4" thickBot="1" x14ac:dyDescent="0.3">
      <c r="A504" s="182"/>
      <c r="B504" s="183" t="s">
        <v>42</v>
      </c>
      <c r="C504" s="184" t="s">
        <v>7</v>
      </c>
      <c r="D504" s="185">
        <v>5.0000000000000001E-3</v>
      </c>
      <c r="E504" s="177">
        <f>'HARGA BAHAN'!E7</f>
        <v>175000</v>
      </c>
      <c r="F504" s="178">
        <f>+D504*E504</f>
        <v>875</v>
      </c>
    </row>
    <row r="505" spans="1:6" ht="14.4" thickBot="1" x14ac:dyDescent="0.3">
      <c r="A505" s="186"/>
      <c r="B505" s="187"/>
      <c r="C505" s="188"/>
      <c r="D505" s="189" t="s">
        <v>8</v>
      </c>
      <c r="E505" s="190"/>
      <c r="F505" s="191">
        <f>SUM(F501:F504)</f>
        <v>16025</v>
      </c>
    </row>
    <row r="506" spans="1:6" x14ac:dyDescent="0.25">
      <c r="A506" s="192" t="s">
        <v>9</v>
      </c>
      <c r="B506" s="193" t="s">
        <v>77</v>
      </c>
      <c r="C506" s="194"/>
      <c r="D506" s="194"/>
      <c r="E506" s="194"/>
      <c r="F506" s="195"/>
    </row>
    <row r="507" spans="1:6" ht="14.4" thickBot="1" x14ac:dyDescent="0.3">
      <c r="A507" s="389"/>
      <c r="B507" s="390" t="s">
        <v>195</v>
      </c>
      <c r="C507" s="391" t="s">
        <v>188</v>
      </c>
      <c r="D507" s="392">
        <v>5.22</v>
      </c>
      <c r="E507" s="393">
        <f>'HARGA BAHAN'!E79</f>
        <v>550</v>
      </c>
      <c r="F507" s="178">
        <f>+D507*E507</f>
        <v>2871</v>
      </c>
    </row>
    <row r="508" spans="1:6" ht="14.4" thickBot="1" x14ac:dyDescent="0.3">
      <c r="A508" s="186"/>
      <c r="B508" s="205"/>
      <c r="C508" s="205"/>
      <c r="D508" s="206" t="s">
        <v>10</v>
      </c>
      <c r="E508" s="205"/>
      <c r="F508" s="191">
        <f>SUM(F507:F507)</f>
        <v>2871</v>
      </c>
    </row>
    <row r="509" spans="1:6" x14ac:dyDescent="0.25">
      <c r="A509" s="192" t="s">
        <v>11</v>
      </c>
      <c r="B509" s="193" t="s">
        <v>78</v>
      </c>
      <c r="C509" s="194"/>
      <c r="D509" s="194"/>
      <c r="E509" s="194"/>
      <c r="F509" s="195"/>
    </row>
    <row r="510" spans="1:6" ht="14.4" thickBot="1" x14ac:dyDescent="0.3">
      <c r="A510" s="207"/>
      <c r="B510" s="208"/>
      <c r="C510" s="209"/>
      <c r="D510" s="210"/>
      <c r="E510" s="211"/>
      <c r="F510" s="212"/>
    </row>
    <row r="511" spans="1:6" ht="14.4" thickBot="1" x14ac:dyDescent="0.3">
      <c r="A511" s="186"/>
      <c r="B511" s="187"/>
      <c r="C511" s="188"/>
      <c r="D511" s="189" t="s">
        <v>12</v>
      </c>
      <c r="E511" s="190"/>
      <c r="F511" s="191">
        <f>SUM(F510)</f>
        <v>0</v>
      </c>
    </row>
    <row r="512" spans="1:6" x14ac:dyDescent="0.25">
      <c r="A512" s="192" t="s">
        <v>13</v>
      </c>
      <c r="B512" s="193" t="s">
        <v>14</v>
      </c>
      <c r="C512" s="213"/>
      <c r="D512" s="213"/>
      <c r="E512" s="214"/>
      <c r="F512" s="215">
        <f>+F505+F508+F511</f>
        <v>18896</v>
      </c>
    </row>
    <row r="513" spans="1:6" x14ac:dyDescent="0.25">
      <c r="A513" s="169" t="s">
        <v>15</v>
      </c>
      <c r="B513" s="170" t="s">
        <v>51</v>
      </c>
      <c r="C513" s="216"/>
      <c r="D513" s="216"/>
      <c r="E513" s="217"/>
      <c r="F513" s="218">
        <f>F512*15%</f>
        <v>2834.4</v>
      </c>
    </row>
    <row r="514" spans="1:6" ht="14.4" thickBot="1" x14ac:dyDescent="0.3">
      <c r="A514" s="219" t="s">
        <v>16</v>
      </c>
      <c r="B514" s="220" t="s">
        <v>17</v>
      </c>
      <c r="C514" s="221"/>
      <c r="D514" s="221"/>
      <c r="E514" s="222"/>
      <c r="F514" s="223">
        <f>SUM(F512:F513)</f>
        <v>21730.400000000001</v>
      </c>
    </row>
    <row r="516" spans="1:6" ht="16.2" thickBot="1" x14ac:dyDescent="0.3">
      <c r="A516" s="224" t="s">
        <v>133</v>
      </c>
      <c r="B516" s="225" t="s">
        <v>204</v>
      </c>
      <c r="C516" s="226"/>
      <c r="D516" s="226"/>
      <c r="E516" s="226"/>
      <c r="F516" s="226"/>
    </row>
    <row r="517" spans="1:6" ht="28.2" thickBot="1" x14ac:dyDescent="0.3">
      <c r="A517" s="227" t="s">
        <v>2</v>
      </c>
      <c r="B517" s="228" t="s">
        <v>3</v>
      </c>
      <c r="C517" s="228" t="s">
        <v>0</v>
      </c>
      <c r="D517" s="228" t="s">
        <v>4</v>
      </c>
      <c r="E517" s="228" t="s">
        <v>5</v>
      </c>
      <c r="F517" s="229" t="s">
        <v>6</v>
      </c>
    </row>
    <row r="518" spans="1:6" x14ac:dyDescent="0.25">
      <c r="A518" s="230">
        <v>1</v>
      </c>
      <c r="B518" s="231">
        <v>2</v>
      </c>
      <c r="C518" s="231">
        <v>3</v>
      </c>
      <c r="D518" s="231">
        <v>4</v>
      </c>
      <c r="E518" s="231">
        <v>5</v>
      </c>
      <c r="F518" s="232">
        <v>6</v>
      </c>
    </row>
    <row r="519" spans="1:6" x14ac:dyDescent="0.25">
      <c r="A519" s="233" t="s">
        <v>1</v>
      </c>
      <c r="B519" s="234" t="s">
        <v>76</v>
      </c>
      <c r="C519" s="235"/>
      <c r="D519" s="235"/>
      <c r="E519" s="235"/>
      <c r="F519" s="236"/>
    </row>
    <row r="520" spans="1:6" x14ac:dyDescent="0.25">
      <c r="A520" s="237"/>
      <c r="B520" s="238" t="s">
        <v>40</v>
      </c>
      <c r="C520" s="239" t="s">
        <v>7</v>
      </c>
      <c r="D520" s="240">
        <v>0.26</v>
      </c>
      <c r="E520" s="241">
        <f>'HARGA BAHAN'!E4</f>
        <v>125000</v>
      </c>
      <c r="F520" s="242">
        <f>+D520*E520</f>
        <v>32500</v>
      </c>
    </row>
    <row r="521" spans="1:6" x14ac:dyDescent="0.25">
      <c r="A521" s="237"/>
      <c r="B521" s="243" t="s">
        <v>86</v>
      </c>
      <c r="C521" s="244" t="s">
        <v>7</v>
      </c>
      <c r="D521" s="245">
        <v>0.13</v>
      </c>
      <c r="E521" s="241">
        <f>'HARGA BAHAN'!E5</f>
        <v>160000</v>
      </c>
      <c r="F521" s="242">
        <f>+D521*E521</f>
        <v>20800</v>
      </c>
    </row>
    <row r="522" spans="1:6" x14ac:dyDescent="0.25">
      <c r="A522" s="237"/>
      <c r="B522" s="238" t="s">
        <v>87</v>
      </c>
      <c r="C522" s="239" t="s">
        <v>7</v>
      </c>
      <c r="D522" s="240">
        <v>1.2999999999999999E-2</v>
      </c>
      <c r="E522" s="241">
        <f>'HARGA BAHAN'!E6</f>
        <v>180000</v>
      </c>
      <c r="F522" s="242">
        <f>+D522*E522</f>
        <v>2340</v>
      </c>
    </row>
    <row r="523" spans="1:6" ht="14.4" thickBot="1" x14ac:dyDescent="0.3">
      <c r="A523" s="246"/>
      <c r="B523" s="247" t="s">
        <v>42</v>
      </c>
      <c r="C523" s="248" t="s">
        <v>7</v>
      </c>
      <c r="D523" s="249">
        <v>1.2999999999999999E-2</v>
      </c>
      <c r="E523" s="241">
        <f>'HARGA BAHAN'!E7</f>
        <v>175000</v>
      </c>
      <c r="F523" s="242">
        <f>+D523*E523</f>
        <v>2275</v>
      </c>
    </row>
    <row r="524" spans="1:6" ht="14.4" thickBot="1" x14ac:dyDescent="0.3">
      <c r="A524" s="250"/>
      <c r="B524" s="251"/>
      <c r="C524" s="252"/>
      <c r="D524" s="253" t="s">
        <v>8</v>
      </c>
      <c r="E524" s="254"/>
      <c r="F524" s="255">
        <f>SUM(F520:F523)</f>
        <v>57915</v>
      </c>
    </row>
    <row r="525" spans="1:6" x14ac:dyDescent="0.25">
      <c r="A525" s="256" t="s">
        <v>9</v>
      </c>
      <c r="B525" s="257" t="s">
        <v>77</v>
      </c>
      <c r="C525" s="258"/>
      <c r="D525" s="258"/>
      <c r="E525" s="258"/>
      <c r="F525" s="259"/>
    </row>
    <row r="526" spans="1:6" x14ac:dyDescent="0.25">
      <c r="A526" s="260"/>
      <c r="B526" s="261" t="s">
        <v>134</v>
      </c>
      <c r="C526" s="262" t="s">
        <v>45</v>
      </c>
      <c r="D526" s="263">
        <v>11.87</v>
      </c>
      <c r="E526" s="264">
        <f>'HARGA BAHAN'!E84</f>
        <v>14518.181818181818</v>
      </c>
      <c r="F526" s="242">
        <f>+D526*E526</f>
        <v>172330.81818181818</v>
      </c>
    </row>
    <row r="527" spans="1:6" x14ac:dyDescent="0.25">
      <c r="A527" s="265"/>
      <c r="B527" s="266" t="s">
        <v>85</v>
      </c>
      <c r="C527" s="267" t="s">
        <v>21</v>
      </c>
      <c r="D527" s="268">
        <v>10</v>
      </c>
      <c r="E527" s="269">
        <f>'HARGA BAHAN'!E13</f>
        <v>2000</v>
      </c>
      <c r="F527" s="242">
        <f>+D527*E527</f>
        <v>20000</v>
      </c>
    </row>
    <row r="528" spans="1:6" x14ac:dyDescent="0.25">
      <c r="A528" s="265"/>
      <c r="B528" s="266" t="s">
        <v>118</v>
      </c>
      <c r="C528" s="267" t="s">
        <v>21</v>
      </c>
      <c r="D528" s="268">
        <v>1.5</v>
      </c>
      <c r="E528" s="269">
        <f>'HARGA BAHAN'!E45</f>
        <v>6438.0000000000009</v>
      </c>
      <c r="F528" s="242">
        <f>+D528*E528</f>
        <v>9657.0000000000018</v>
      </c>
    </row>
    <row r="529" spans="1:6" ht="16.2" thickBot="1" x14ac:dyDescent="0.3">
      <c r="A529" s="270"/>
      <c r="B529" s="271" t="s">
        <v>106</v>
      </c>
      <c r="C529" s="272" t="s">
        <v>205</v>
      </c>
      <c r="D529" s="273">
        <v>4.4999999999999998E-2</v>
      </c>
      <c r="E529" s="274">
        <f>'HARGA BAHAN'!E15</f>
        <v>210000</v>
      </c>
      <c r="F529" s="242">
        <f>+D529*E529</f>
        <v>9450</v>
      </c>
    </row>
    <row r="530" spans="1:6" ht="14.4" thickBot="1" x14ac:dyDescent="0.3">
      <c r="A530" s="250"/>
      <c r="B530" s="275"/>
      <c r="C530" s="275"/>
      <c r="D530" s="276" t="s">
        <v>10</v>
      </c>
      <c r="E530" s="275"/>
      <c r="F530" s="255">
        <f>SUM(F526:F529)</f>
        <v>211437.81818181818</v>
      </c>
    </row>
    <row r="531" spans="1:6" x14ac:dyDescent="0.25">
      <c r="A531" s="256" t="s">
        <v>11</v>
      </c>
      <c r="B531" s="257" t="s">
        <v>78</v>
      </c>
      <c r="C531" s="258"/>
      <c r="D531" s="258"/>
      <c r="E531" s="258"/>
      <c r="F531" s="259"/>
    </row>
    <row r="532" spans="1:6" ht="14.4" thickBot="1" x14ac:dyDescent="0.3">
      <c r="A532" s="277"/>
      <c r="B532" s="278"/>
      <c r="C532" s="279"/>
      <c r="D532" s="280"/>
      <c r="E532" s="281"/>
      <c r="F532" s="282"/>
    </row>
    <row r="533" spans="1:6" ht="14.4" thickBot="1" x14ac:dyDescent="0.3">
      <c r="A533" s="250"/>
      <c r="B533" s="251"/>
      <c r="C533" s="252"/>
      <c r="D533" s="253" t="s">
        <v>12</v>
      </c>
      <c r="E533" s="254"/>
      <c r="F533" s="255">
        <f>SUM(F532)</f>
        <v>0</v>
      </c>
    </row>
    <row r="534" spans="1:6" x14ac:dyDescent="0.25">
      <c r="A534" s="256" t="s">
        <v>13</v>
      </c>
      <c r="B534" s="257" t="s">
        <v>14</v>
      </c>
      <c r="C534" s="283"/>
      <c r="D534" s="283"/>
      <c r="E534" s="284"/>
      <c r="F534" s="285">
        <f>+F524+F530+F533</f>
        <v>269352.81818181818</v>
      </c>
    </row>
    <row r="535" spans="1:6" x14ac:dyDescent="0.25">
      <c r="A535" s="233" t="s">
        <v>15</v>
      </c>
      <c r="B535" s="234" t="s">
        <v>51</v>
      </c>
      <c r="C535" s="286"/>
      <c r="D535" s="286"/>
      <c r="E535" s="287"/>
      <c r="F535" s="288">
        <f>F534*15%</f>
        <v>40402.922727272722</v>
      </c>
    </row>
    <row r="536" spans="1:6" ht="14.4" thickBot="1" x14ac:dyDescent="0.3">
      <c r="A536" s="289" t="s">
        <v>16</v>
      </c>
      <c r="B536" s="290" t="s">
        <v>17</v>
      </c>
      <c r="C536" s="291"/>
      <c r="D536" s="291"/>
      <c r="E536" s="292"/>
      <c r="F536" s="293">
        <f>SUM(F534:F535)</f>
        <v>309755.74090909091</v>
      </c>
    </row>
    <row r="537" spans="1:6" x14ac:dyDescent="0.25">
      <c r="A537" s="294"/>
      <c r="B537" s="225"/>
      <c r="C537" s="225"/>
      <c r="D537" s="225"/>
      <c r="E537" s="225"/>
      <c r="F537" s="295"/>
    </row>
    <row r="538" spans="1:6" ht="16.2" thickBot="1" x14ac:dyDescent="0.3">
      <c r="A538" s="296" t="s">
        <v>215</v>
      </c>
      <c r="B538" s="297" t="s">
        <v>208</v>
      </c>
      <c r="C538" s="298"/>
      <c r="D538" s="298"/>
      <c r="E538" s="298"/>
      <c r="F538" s="298"/>
    </row>
    <row r="539" spans="1:6" ht="28.2" thickBot="1" x14ac:dyDescent="0.3">
      <c r="A539" s="299" t="s">
        <v>2</v>
      </c>
      <c r="B539" s="300" t="s">
        <v>3</v>
      </c>
      <c r="C539" s="300" t="s">
        <v>0</v>
      </c>
      <c r="D539" s="300" t="s">
        <v>4</v>
      </c>
      <c r="E539" s="300" t="s">
        <v>5</v>
      </c>
      <c r="F539" s="301" t="s">
        <v>6</v>
      </c>
    </row>
    <row r="540" spans="1:6" x14ac:dyDescent="0.25">
      <c r="A540" s="302">
        <v>1</v>
      </c>
      <c r="B540" s="303">
        <v>2</v>
      </c>
      <c r="C540" s="303">
        <v>3</v>
      </c>
      <c r="D540" s="303">
        <v>4</v>
      </c>
      <c r="E540" s="303">
        <v>5</v>
      </c>
      <c r="F540" s="304">
        <v>6</v>
      </c>
    </row>
    <row r="541" spans="1:6" x14ac:dyDescent="0.25">
      <c r="A541" s="305" t="s">
        <v>1</v>
      </c>
      <c r="B541" s="306" t="s">
        <v>76</v>
      </c>
      <c r="C541" s="307"/>
      <c r="D541" s="307"/>
      <c r="E541" s="307"/>
      <c r="F541" s="308"/>
    </row>
    <row r="542" spans="1:6" x14ac:dyDescent="0.25">
      <c r="A542" s="309"/>
      <c r="B542" s="310" t="s">
        <v>40</v>
      </c>
      <c r="C542" s="311" t="s">
        <v>7</v>
      </c>
      <c r="D542" s="312">
        <v>0.26</v>
      </c>
      <c r="E542" s="313">
        <f>'HARGA BAHAN'!E4</f>
        <v>125000</v>
      </c>
      <c r="F542" s="314">
        <f>+D542*E542</f>
        <v>32500</v>
      </c>
    </row>
    <row r="543" spans="1:6" x14ac:dyDescent="0.25">
      <c r="A543" s="309"/>
      <c r="B543" s="315" t="s">
        <v>86</v>
      </c>
      <c r="C543" s="316" t="s">
        <v>7</v>
      </c>
      <c r="D543" s="317">
        <v>0.13</v>
      </c>
      <c r="E543" s="313">
        <f>'HARGA BAHAN'!E5</f>
        <v>160000</v>
      </c>
      <c r="F543" s="314">
        <f>+D543*E543</f>
        <v>20800</v>
      </c>
    </row>
    <row r="544" spans="1:6" x14ac:dyDescent="0.25">
      <c r="A544" s="309"/>
      <c r="B544" s="310" t="s">
        <v>87</v>
      </c>
      <c r="C544" s="311" t="s">
        <v>7</v>
      </c>
      <c r="D544" s="312">
        <v>1.2999999999999999E-2</v>
      </c>
      <c r="E544" s="313">
        <f>'HARGA BAHAN'!E6</f>
        <v>180000</v>
      </c>
      <c r="F544" s="314">
        <f>+D544*E544</f>
        <v>2340</v>
      </c>
    </row>
    <row r="545" spans="1:6" ht="14.4" thickBot="1" x14ac:dyDescent="0.3">
      <c r="A545" s="318"/>
      <c r="B545" s="319" t="s">
        <v>42</v>
      </c>
      <c r="C545" s="320" t="s">
        <v>7</v>
      </c>
      <c r="D545" s="321">
        <v>1.2999999999999999E-2</v>
      </c>
      <c r="E545" s="313">
        <f>'HARGA BAHAN'!E7</f>
        <v>175000</v>
      </c>
      <c r="F545" s="314">
        <f>+D545*E545</f>
        <v>2275</v>
      </c>
    </row>
    <row r="546" spans="1:6" ht="14.4" thickBot="1" x14ac:dyDescent="0.3">
      <c r="A546" s="322"/>
      <c r="B546" s="323"/>
      <c r="C546" s="324"/>
      <c r="D546" s="325" t="s">
        <v>8</v>
      </c>
      <c r="E546" s="326"/>
      <c r="F546" s="327">
        <f>SUM(F542:F545)</f>
        <v>57915</v>
      </c>
    </row>
    <row r="547" spans="1:6" x14ac:dyDescent="0.25">
      <c r="A547" s="328" t="s">
        <v>9</v>
      </c>
      <c r="B547" s="329" t="s">
        <v>77</v>
      </c>
      <c r="C547" s="330"/>
      <c r="D547" s="330"/>
      <c r="E547" s="330"/>
      <c r="F547" s="331"/>
    </row>
    <row r="548" spans="1:6" x14ac:dyDescent="0.25">
      <c r="A548" s="332"/>
      <c r="B548" s="333" t="s">
        <v>209</v>
      </c>
      <c r="C548" s="334" t="s">
        <v>159</v>
      </c>
      <c r="D548" s="335">
        <v>6.63</v>
      </c>
      <c r="E548" s="336">
        <f>'HARGA BAHAN'!E85</f>
        <v>24565.5</v>
      </c>
      <c r="F548" s="314">
        <f>+D548*E548</f>
        <v>162869.26499999998</v>
      </c>
    </row>
    <row r="549" spans="1:6" x14ac:dyDescent="0.25">
      <c r="A549" s="337"/>
      <c r="B549" s="338" t="s">
        <v>210</v>
      </c>
      <c r="C549" s="339" t="s">
        <v>213</v>
      </c>
      <c r="D549" s="340">
        <v>9.8000000000000007</v>
      </c>
      <c r="E549" s="341">
        <f>'HARGA BAHAN'!E13</f>
        <v>2000</v>
      </c>
      <c r="F549" s="314">
        <f>+D549*E549</f>
        <v>19600</v>
      </c>
    </row>
    <row r="550" spans="1:6" x14ac:dyDescent="0.25">
      <c r="A550" s="337"/>
      <c r="B550" s="338" t="s">
        <v>211</v>
      </c>
      <c r="C550" s="339" t="s">
        <v>214</v>
      </c>
      <c r="D550" s="340">
        <v>4.4999999999999998E-2</v>
      </c>
      <c r="E550" s="341">
        <f>'HARGA BAHAN'!E15</f>
        <v>210000</v>
      </c>
      <c r="F550" s="314">
        <f>+D550*E550</f>
        <v>9450</v>
      </c>
    </row>
    <row r="551" spans="1:6" ht="14.4" thickBot="1" x14ac:dyDescent="0.3">
      <c r="A551" s="342"/>
      <c r="B551" s="343" t="s">
        <v>212</v>
      </c>
      <c r="C551" s="344" t="s">
        <v>213</v>
      </c>
      <c r="D551" s="345">
        <v>1.3</v>
      </c>
      <c r="E551" s="346">
        <f>'HARGA BAHAN'!E45</f>
        <v>6438.0000000000009</v>
      </c>
      <c r="F551" s="314">
        <f>+D551*E551</f>
        <v>8369.4000000000015</v>
      </c>
    </row>
    <row r="552" spans="1:6" ht="14.4" thickBot="1" x14ac:dyDescent="0.3">
      <c r="A552" s="322"/>
      <c r="B552" s="347"/>
      <c r="C552" s="347"/>
      <c r="D552" s="348" t="s">
        <v>10</v>
      </c>
      <c r="E552" s="347"/>
      <c r="F552" s="327">
        <f>SUM(F548:F551)</f>
        <v>200288.66499999998</v>
      </c>
    </row>
    <row r="553" spans="1:6" x14ac:dyDescent="0.25">
      <c r="A553" s="328" t="s">
        <v>11</v>
      </c>
      <c r="B553" s="329" t="s">
        <v>78</v>
      </c>
      <c r="C553" s="330"/>
      <c r="D553" s="330"/>
      <c r="E553" s="330"/>
      <c r="F553" s="331"/>
    </row>
    <row r="554" spans="1:6" ht="14.4" thickBot="1" x14ac:dyDescent="0.3">
      <c r="A554" s="349"/>
      <c r="B554" s="350"/>
      <c r="C554" s="351"/>
      <c r="D554" s="352"/>
      <c r="E554" s="353"/>
      <c r="F554" s="354"/>
    </row>
    <row r="555" spans="1:6" ht="14.4" thickBot="1" x14ac:dyDescent="0.3">
      <c r="A555" s="322"/>
      <c r="B555" s="323"/>
      <c r="C555" s="324"/>
      <c r="D555" s="325" t="s">
        <v>12</v>
      </c>
      <c r="E555" s="326"/>
      <c r="F555" s="327">
        <f>SUM(F554)</f>
        <v>0</v>
      </c>
    </row>
    <row r="556" spans="1:6" x14ac:dyDescent="0.25">
      <c r="A556" s="328" t="s">
        <v>13</v>
      </c>
      <c r="B556" s="329" t="s">
        <v>14</v>
      </c>
      <c r="C556" s="355"/>
      <c r="D556" s="355"/>
      <c r="E556" s="356"/>
      <c r="F556" s="357">
        <f>+F546+F552+F555</f>
        <v>258203.66499999998</v>
      </c>
    </row>
    <row r="557" spans="1:6" x14ac:dyDescent="0.25">
      <c r="A557" s="305" t="s">
        <v>15</v>
      </c>
      <c r="B557" s="306" t="s">
        <v>51</v>
      </c>
      <c r="C557" s="358"/>
      <c r="D557" s="358"/>
      <c r="E557" s="359"/>
      <c r="F557" s="360">
        <f>F556*15%</f>
        <v>38730.549749999998</v>
      </c>
    </row>
    <row r="558" spans="1:6" ht="14.4" thickBot="1" x14ac:dyDescent="0.3">
      <c r="A558" s="361" t="s">
        <v>16</v>
      </c>
      <c r="B558" s="362" t="s">
        <v>17</v>
      </c>
      <c r="C558" s="363"/>
      <c r="D558" s="363"/>
      <c r="E558" s="364"/>
      <c r="F558" s="365">
        <f>SUM(F556:F557)</f>
        <v>296934.21474999998</v>
      </c>
    </row>
    <row r="559" spans="1:6" x14ac:dyDescent="0.25">
      <c r="A559" s="294"/>
      <c r="B559" s="225"/>
      <c r="C559" s="225"/>
      <c r="D559" s="225"/>
      <c r="E559" s="225"/>
      <c r="F559" s="295"/>
    </row>
    <row r="560" spans="1:6" ht="16.2" thickBot="1" x14ac:dyDescent="0.3">
      <c r="A560" s="296" t="s">
        <v>456</v>
      </c>
      <c r="B560" s="297" t="s">
        <v>459</v>
      </c>
      <c r="C560" s="298"/>
      <c r="D560" s="298"/>
      <c r="E560" s="298"/>
      <c r="F560" s="298"/>
    </row>
    <row r="561" spans="1:6" ht="28.2" thickBot="1" x14ac:dyDescent="0.3">
      <c r="A561" s="299" t="s">
        <v>2</v>
      </c>
      <c r="B561" s="300" t="s">
        <v>3</v>
      </c>
      <c r="C561" s="300" t="s">
        <v>0</v>
      </c>
      <c r="D561" s="300" t="s">
        <v>4</v>
      </c>
      <c r="E561" s="300" t="s">
        <v>5</v>
      </c>
      <c r="F561" s="301" t="s">
        <v>6</v>
      </c>
    </row>
    <row r="562" spans="1:6" x14ac:dyDescent="0.25">
      <c r="A562" s="302">
        <v>1</v>
      </c>
      <c r="B562" s="303">
        <v>2</v>
      </c>
      <c r="C562" s="303">
        <v>3</v>
      </c>
      <c r="D562" s="303">
        <v>4</v>
      </c>
      <c r="E562" s="303">
        <v>5</v>
      </c>
      <c r="F562" s="304">
        <v>6</v>
      </c>
    </row>
    <row r="563" spans="1:6" x14ac:dyDescent="0.25">
      <c r="A563" s="305" t="s">
        <v>1</v>
      </c>
      <c r="B563" s="306" t="s">
        <v>76</v>
      </c>
      <c r="C563" s="307"/>
      <c r="D563" s="307"/>
      <c r="E563" s="307"/>
      <c r="F563" s="308"/>
    </row>
    <row r="564" spans="1:6" x14ac:dyDescent="0.25">
      <c r="A564" s="309"/>
      <c r="B564" s="310" t="s">
        <v>40</v>
      </c>
      <c r="C564" s="311" t="s">
        <v>7</v>
      </c>
      <c r="D564" s="312">
        <v>0.26</v>
      </c>
      <c r="E564" s="313">
        <f>'HARGA BAHAN'!E4</f>
        <v>125000</v>
      </c>
      <c r="F564" s="314">
        <f>+D564*E564</f>
        <v>32500</v>
      </c>
    </row>
    <row r="565" spans="1:6" x14ac:dyDescent="0.25">
      <c r="A565" s="309"/>
      <c r="B565" s="315" t="s">
        <v>86</v>
      </c>
      <c r="C565" s="316" t="s">
        <v>7</v>
      </c>
      <c r="D565" s="317">
        <v>0.13</v>
      </c>
      <c r="E565" s="313">
        <f>'HARGA BAHAN'!E5</f>
        <v>160000</v>
      </c>
      <c r="F565" s="314">
        <f>+D565*E565</f>
        <v>20800</v>
      </c>
    </row>
    <row r="566" spans="1:6" x14ac:dyDescent="0.25">
      <c r="A566" s="309"/>
      <c r="B566" s="310" t="s">
        <v>87</v>
      </c>
      <c r="C566" s="311" t="s">
        <v>7</v>
      </c>
      <c r="D566" s="312">
        <v>1.2999999999999999E-2</v>
      </c>
      <c r="E566" s="313">
        <f>'HARGA BAHAN'!E6</f>
        <v>180000</v>
      </c>
      <c r="F566" s="314">
        <f>+D566*E566</f>
        <v>2340</v>
      </c>
    </row>
    <row r="567" spans="1:6" ht="14.4" thickBot="1" x14ac:dyDescent="0.3">
      <c r="A567" s="318"/>
      <c r="B567" s="319" t="s">
        <v>42</v>
      </c>
      <c r="C567" s="320" t="s">
        <v>7</v>
      </c>
      <c r="D567" s="321">
        <v>1.2999999999999999E-2</v>
      </c>
      <c r="E567" s="313">
        <f>'HARGA BAHAN'!E7</f>
        <v>175000</v>
      </c>
      <c r="F567" s="314">
        <f>+D567*E567</f>
        <v>2275</v>
      </c>
    </row>
    <row r="568" spans="1:6" ht="14.4" thickBot="1" x14ac:dyDescent="0.3">
      <c r="A568" s="322"/>
      <c r="B568" s="323"/>
      <c r="C568" s="324"/>
      <c r="D568" s="325" t="s">
        <v>8</v>
      </c>
      <c r="E568" s="326"/>
      <c r="F568" s="327">
        <f>SUM(F564:F567)</f>
        <v>57915</v>
      </c>
    </row>
    <row r="569" spans="1:6" x14ac:dyDescent="0.25">
      <c r="A569" s="328" t="s">
        <v>9</v>
      </c>
      <c r="B569" s="329" t="s">
        <v>77</v>
      </c>
      <c r="C569" s="330"/>
      <c r="D569" s="330"/>
      <c r="E569" s="330"/>
      <c r="F569" s="331"/>
    </row>
    <row r="570" spans="1:6" x14ac:dyDescent="0.25">
      <c r="A570" s="332"/>
      <c r="B570" s="333" t="s">
        <v>457</v>
      </c>
      <c r="C570" s="334" t="s">
        <v>159</v>
      </c>
      <c r="D570" s="335">
        <v>16</v>
      </c>
      <c r="E570" s="336">
        <f>'HARGA BAHAN'!E40</f>
        <v>5000</v>
      </c>
      <c r="F570" s="314">
        <f>+D570*E570</f>
        <v>80000</v>
      </c>
    </row>
    <row r="571" spans="1:6" x14ac:dyDescent="0.25">
      <c r="A571" s="337"/>
      <c r="B571" s="338" t="s">
        <v>210</v>
      </c>
      <c r="C571" s="339" t="s">
        <v>213</v>
      </c>
      <c r="D571" s="340">
        <v>10</v>
      </c>
      <c r="E571" s="341">
        <f>'HARGA BAHAN'!E13</f>
        <v>2000</v>
      </c>
      <c r="F571" s="314">
        <f>+D571*E571</f>
        <v>20000</v>
      </c>
    </row>
    <row r="572" spans="1:6" x14ac:dyDescent="0.25">
      <c r="A572" s="337"/>
      <c r="B572" s="338" t="s">
        <v>211</v>
      </c>
      <c r="C572" s="339" t="s">
        <v>214</v>
      </c>
      <c r="D572" s="340">
        <v>4.4999999999999998E-2</v>
      </c>
      <c r="E572" s="341">
        <f>'HARGA BAHAN'!E15</f>
        <v>210000</v>
      </c>
      <c r="F572" s="314">
        <f>+D572*E572</f>
        <v>9450</v>
      </c>
    </row>
    <row r="573" spans="1:6" ht="14.4" thickBot="1" x14ac:dyDescent="0.3">
      <c r="A573" s="342"/>
      <c r="B573" s="343" t="s">
        <v>212</v>
      </c>
      <c r="C573" s="344" t="s">
        <v>213</v>
      </c>
      <c r="D573" s="345">
        <v>1.45</v>
      </c>
      <c r="E573" s="346">
        <f>'HARGA BAHAN'!E45</f>
        <v>6438.0000000000009</v>
      </c>
      <c r="F573" s="314">
        <f>+D573*E573</f>
        <v>9335.1</v>
      </c>
    </row>
    <row r="574" spans="1:6" ht="14.4" thickBot="1" x14ac:dyDescent="0.3">
      <c r="A574" s="322"/>
      <c r="B574" s="347"/>
      <c r="C574" s="347"/>
      <c r="D574" s="348" t="s">
        <v>10</v>
      </c>
      <c r="E574" s="347"/>
      <c r="F574" s="327">
        <f>SUM(F570:F573)</f>
        <v>118785.1</v>
      </c>
    </row>
    <row r="575" spans="1:6" x14ac:dyDescent="0.25">
      <c r="A575" s="328" t="s">
        <v>11</v>
      </c>
      <c r="B575" s="329" t="s">
        <v>78</v>
      </c>
      <c r="C575" s="330"/>
      <c r="D575" s="330"/>
      <c r="E575" s="330"/>
      <c r="F575" s="331"/>
    </row>
    <row r="576" spans="1:6" ht="14.4" thickBot="1" x14ac:dyDescent="0.3">
      <c r="A576" s="349"/>
      <c r="B576" s="350"/>
      <c r="C576" s="351"/>
      <c r="D576" s="352"/>
      <c r="E576" s="353"/>
      <c r="F576" s="354"/>
    </row>
    <row r="577" spans="1:6" ht="14.4" thickBot="1" x14ac:dyDescent="0.3">
      <c r="A577" s="322"/>
      <c r="B577" s="323"/>
      <c r="C577" s="324"/>
      <c r="D577" s="325" t="s">
        <v>12</v>
      </c>
      <c r="E577" s="326"/>
      <c r="F577" s="327">
        <f>SUM(F576)</f>
        <v>0</v>
      </c>
    </row>
    <row r="578" spans="1:6" x14ac:dyDescent="0.25">
      <c r="A578" s="328" t="s">
        <v>13</v>
      </c>
      <c r="B578" s="329" t="s">
        <v>14</v>
      </c>
      <c r="C578" s="355"/>
      <c r="D578" s="355"/>
      <c r="E578" s="356"/>
      <c r="F578" s="357">
        <f>+F568+F574+F577</f>
        <v>176700.1</v>
      </c>
    </row>
    <row r="579" spans="1:6" x14ac:dyDescent="0.25">
      <c r="A579" s="305" t="s">
        <v>15</v>
      </c>
      <c r="B579" s="306" t="s">
        <v>51</v>
      </c>
      <c r="C579" s="358"/>
      <c r="D579" s="358"/>
      <c r="E579" s="359"/>
      <c r="F579" s="360">
        <f>F578*15%</f>
        <v>26505.014999999999</v>
      </c>
    </row>
    <row r="580" spans="1:6" ht="14.4" thickBot="1" x14ac:dyDescent="0.3">
      <c r="A580" s="361" t="s">
        <v>16</v>
      </c>
      <c r="B580" s="362" t="s">
        <v>17</v>
      </c>
      <c r="C580" s="363"/>
      <c r="D580" s="363"/>
      <c r="E580" s="364"/>
      <c r="F580" s="365">
        <f>SUM(F578:F579)</f>
        <v>203205.11499999999</v>
      </c>
    </row>
    <row r="581" spans="1:6" x14ac:dyDescent="0.25">
      <c r="A581" s="294"/>
      <c r="B581" s="225"/>
      <c r="C581" s="225"/>
      <c r="D581" s="225"/>
      <c r="E581" s="225"/>
      <c r="F581" s="295"/>
    </row>
    <row r="582" spans="1:6" ht="16.2" thickBot="1" x14ac:dyDescent="0.3">
      <c r="A582" s="296" t="s">
        <v>460</v>
      </c>
      <c r="B582" s="297" t="s">
        <v>461</v>
      </c>
      <c r="C582" s="298"/>
      <c r="D582" s="298"/>
      <c r="E582" s="298"/>
      <c r="F582" s="298"/>
    </row>
    <row r="583" spans="1:6" ht="28.2" thickBot="1" x14ac:dyDescent="0.3">
      <c r="A583" s="299" t="s">
        <v>2</v>
      </c>
      <c r="B583" s="300" t="s">
        <v>3</v>
      </c>
      <c r="C583" s="300" t="s">
        <v>0</v>
      </c>
      <c r="D583" s="300" t="s">
        <v>4</v>
      </c>
      <c r="E583" s="300" t="s">
        <v>5</v>
      </c>
      <c r="F583" s="301" t="s">
        <v>6</v>
      </c>
    </row>
    <row r="584" spans="1:6" x14ac:dyDescent="0.25">
      <c r="A584" s="302">
        <v>1</v>
      </c>
      <c r="B584" s="303">
        <v>2</v>
      </c>
      <c r="C584" s="303">
        <v>3</v>
      </c>
      <c r="D584" s="303">
        <v>4</v>
      </c>
      <c r="E584" s="303">
        <v>5</v>
      </c>
      <c r="F584" s="304">
        <v>6</v>
      </c>
    </row>
    <row r="585" spans="1:6" x14ac:dyDescent="0.25">
      <c r="A585" s="305" t="s">
        <v>1</v>
      </c>
      <c r="B585" s="306" t="s">
        <v>76</v>
      </c>
      <c r="C585" s="307"/>
      <c r="D585" s="307"/>
      <c r="E585" s="307"/>
      <c r="F585" s="308"/>
    </row>
    <row r="586" spans="1:6" x14ac:dyDescent="0.25">
      <c r="A586" s="309"/>
      <c r="B586" s="310" t="s">
        <v>40</v>
      </c>
      <c r="C586" s="311" t="s">
        <v>7</v>
      </c>
      <c r="D586" s="312">
        <v>0.26</v>
      </c>
      <c r="E586" s="313">
        <f>'HARGA BAHAN'!E4</f>
        <v>125000</v>
      </c>
      <c r="F586" s="314">
        <f>+D586*E586</f>
        <v>32500</v>
      </c>
    </row>
    <row r="587" spans="1:6" x14ac:dyDescent="0.25">
      <c r="A587" s="309"/>
      <c r="B587" s="315" t="s">
        <v>86</v>
      </c>
      <c r="C587" s="316" t="s">
        <v>7</v>
      </c>
      <c r="D587" s="317">
        <v>0.13</v>
      </c>
      <c r="E587" s="313">
        <f>'HARGA BAHAN'!E5</f>
        <v>160000</v>
      </c>
      <c r="F587" s="314">
        <f>+D587*E587</f>
        <v>20800</v>
      </c>
    </row>
    <row r="588" spans="1:6" x14ac:dyDescent="0.25">
      <c r="A588" s="309"/>
      <c r="B588" s="310" t="s">
        <v>87</v>
      </c>
      <c r="C588" s="311" t="s">
        <v>7</v>
      </c>
      <c r="D588" s="312">
        <v>1.2999999999999999E-2</v>
      </c>
      <c r="E588" s="313">
        <f>'HARGA BAHAN'!E6</f>
        <v>180000</v>
      </c>
      <c r="F588" s="314">
        <f>+D588*E588</f>
        <v>2340</v>
      </c>
    </row>
    <row r="589" spans="1:6" ht="14.4" thickBot="1" x14ac:dyDescent="0.3">
      <c r="A589" s="318"/>
      <c r="B589" s="319" t="s">
        <v>42</v>
      </c>
      <c r="C589" s="320" t="s">
        <v>7</v>
      </c>
      <c r="D589" s="321">
        <v>1.2999999999999999E-2</v>
      </c>
      <c r="E589" s="313">
        <f>'HARGA BAHAN'!E7</f>
        <v>175000</v>
      </c>
      <c r="F589" s="314">
        <f>+D589*E589</f>
        <v>2275</v>
      </c>
    </row>
    <row r="590" spans="1:6" ht="14.4" thickBot="1" x14ac:dyDescent="0.3">
      <c r="A590" s="322"/>
      <c r="B590" s="323"/>
      <c r="C590" s="324"/>
      <c r="D590" s="325" t="s">
        <v>8</v>
      </c>
      <c r="E590" s="326"/>
      <c r="F590" s="327">
        <f>SUM(F586:F589)</f>
        <v>57915</v>
      </c>
    </row>
    <row r="591" spans="1:6" x14ac:dyDescent="0.25">
      <c r="A591" s="328" t="s">
        <v>9</v>
      </c>
      <c r="B591" s="329" t="s">
        <v>77</v>
      </c>
      <c r="C591" s="330"/>
      <c r="D591" s="330"/>
      <c r="E591" s="330"/>
      <c r="F591" s="331"/>
    </row>
    <row r="592" spans="1:6" x14ac:dyDescent="0.25">
      <c r="A592" s="332"/>
      <c r="B592" s="333" t="s">
        <v>462</v>
      </c>
      <c r="C592" s="334" t="s">
        <v>159</v>
      </c>
      <c r="D592" s="335">
        <v>10</v>
      </c>
      <c r="E592" s="336">
        <f>'HARGA BAHAN'!E42</f>
        <v>10000</v>
      </c>
      <c r="F592" s="314">
        <f>+D592*E592</f>
        <v>100000</v>
      </c>
    </row>
    <row r="593" spans="1:6" x14ac:dyDescent="0.25">
      <c r="A593" s="337"/>
      <c r="B593" s="338" t="s">
        <v>210</v>
      </c>
      <c r="C593" s="339" t="s">
        <v>213</v>
      </c>
      <c r="D593" s="340">
        <v>9.8000000000000007</v>
      </c>
      <c r="E593" s="341">
        <f>'HARGA BAHAN'!E13</f>
        <v>2000</v>
      </c>
      <c r="F593" s="314">
        <f>+D593*E593</f>
        <v>19600</v>
      </c>
    </row>
    <row r="594" spans="1:6" x14ac:dyDescent="0.25">
      <c r="A594" s="337"/>
      <c r="B594" s="338" t="s">
        <v>211</v>
      </c>
      <c r="C594" s="339" t="s">
        <v>214</v>
      </c>
      <c r="D594" s="340">
        <v>4.4999999999999998E-2</v>
      </c>
      <c r="E594" s="341">
        <f>'HARGA BAHAN'!E15</f>
        <v>210000</v>
      </c>
      <c r="F594" s="314">
        <f>+D594*E594</f>
        <v>9450</v>
      </c>
    </row>
    <row r="595" spans="1:6" ht="14.4" thickBot="1" x14ac:dyDescent="0.3">
      <c r="A595" s="342"/>
      <c r="B595" s="343" t="s">
        <v>212</v>
      </c>
      <c r="C595" s="344" t="s">
        <v>213</v>
      </c>
      <c r="D595" s="345">
        <v>1.3</v>
      </c>
      <c r="E595" s="346">
        <f>'HARGA BAHAN'!E45</f>
        <v>6438.0000000000009</v>
      </c>
      <c r="F595" s="314">
        <f>+D595*E595</f>
        <v>8369.4000000000015</v>
      </c>
    </row>
    <row r="596" spans="1:6" ht="14.4" thickBot="1" x14ac:dyDescent="0.3">
      <c r="A596" s="322"/>
      <c r="B596" s="347"/>
      <c r="C596" s="347"/>
      <c r="D596" s="348" t="s">
        <v>10</v>
      </c>
      <c r="E596" s="347"/>
      <c r="F596" s="327">
        <f>SUM(F592:F595)</f>
        <v>137419.4</v>
      </c>
    </row>
    <row r="597" spans="1:6" x14ac:dyDescent="0.25">
      <c r="A597" s="328" t="s">
        <v>11</v>
      </c>
      <c r="B597" s="329" t="s">
        <v>78</v>
      </c>
      <c r="C597" s="330"/>
      <c r="D597" s="330"/>
      <c r="E597" s="330"/>
      <c r="F597" s="331"/>
    </row>
    <row r="598" spans="1:6" ht="14.4" thickBot="1" x14ac:dyDescent="0.3">
      <c r="A598" s="349"/>
      <c r="B598" s="350"/>
      <c r="C598" s="351"/>
      <c r="D598" s="352"/>
      <c r="E598" s="353"/>
      <c r="F598" s="354"/>
    </row>
    <row r="599" spans="1:6" ht="14.4" thickBot="1" x14ac:dyDescent="0.3">
      <c r="A599" s="322"/>
      <c r="B599" s="323"/>
      <c r="C599" s="324"/>
      <c r="D599" s="325" t="s">
        <v>12</v>
      </c>
      <c r="E599" s="326"/>
      <c r="F599" s="327">
        <f>SUM(F598)</f>
        <v>0</v>
      </c>
    </row>
    <row r="600" spans="1:6" x14ac:dyDescent="0.25">
      <c r="A600" s="328" t="s">
        <v>13</v>
      </c>
      <c r="B600" s="329" t="s">
        <v>14</v>
      </c>
      <c r="C600" s="355"/>
      <c r="D600" s="355"/>
      <c r="E600" s="356"/>
      <c r="F600" s="357">
        <f>+F590+F596+F599</f>
        <v>195334.39999999999</v>
      </c>
    </row>
    <row r="601" spans="1:6" x14ac:dyDescent="0.25">
      <c r="A601" s="305" t="s">
        <v>15</v>
      </c>
      <c r="B601" s="306" t="s">
        <v>51</v>
      </c>
      <c r="C601" s="358"/>
      <c r="D601" s="358"/>
      <c r="E601" s="359"/>
      <c r="F601" s="360">
        <f>F600*15%</f>
        <v>29300.16</v>
      </c>
    </row>
    <row r="602" spans="1:6" ht="14.4" thickBot="1" x14ac:dyDescent="0.3">
      <c r="A602" s="361" t="s">
        <v>16</v>
      </c>
      <c r="B602" s="362" t="s">
        <v>17</v>
      </c>
      <c r="C602" s="363"/>
      <c r="D602" s="363"/>
      <c r="E602" s="364"/>
      <c r="F602" s="365">
        <f>SUM(F600:F601)</f>
        <v>224634.56</v>
      </c>
    </row>
    <row r="603" spans="1:6" x14ac:dyDescent="0.25">
      <c r="A603" s="294"/>
      <c r="B603" s="225"/>
      <c r="C603" s="225"/>
      <c r="D603" s="225"/>
      <c r="E603" s="225"/>
      <c r="F603" s="295"/>
    </row>
    <row r="604" spans="1:6" ht="14.4" thickBot="1" x14ac:dyDescent="0.3">
      <c r="A604" s="296" t="s">
        <v>681</v>
      </c>
      <c r="B604" s="297" t="s">
        <v>682</v>
      </c>
      <c r="C604" s="298"/>
      <c r="D604" s="298"/>
      <c r="E604" s="298"/>
      <c r="F604" s="298"/>
    </row>
    <row r="605" spans="1:6" ht="28.2" thickBot="1" x14ac:dyDescent="0.3">
      <c r="A605" s="299" t="s">
        <v>2</v>
      </c>
      <c r="B605" s="300" t="s">
        <v>3</v>
      </c>
      <c r="C605" s="300" t="s">
        <v>0</v>
      </c>
      <c r="D605" s="300" t="s">
        <v>4</v>
      </c>
      <c r="E605" s="300" t="s">
        <v>5</v>
      </c>
      <c r="F605" s="301" t="s">
        <v>6</v>
      </c>
    </row>
    <row r="606" spans="1:6" x14ac:dyDescent="0.25">
      <c r="A606" s="302">
        <v>1</v>
      </c>
      <c r="B606" s="303">
        <v>2</v>
      </c>
      <c r="C606" s="303">
        <v>3</v>
      </c>
      <c r="D606" s="303">
        <v>4</v>
      </c>
      <c r="E606" s="303">
        <v>5</v>
      </c>
      <c r="F606" s="304">
        <v>6</v>
      </c>
    </row>
    <row r="607" spans="1:6" x14ac:dyDescent="0.25">
      <c r="A607" s="305" t="s">
        <v>1</v>
      </c>
      <c r="B607" s="306" t="s">
        <v>76</v>
      </c>
      <c r="C607" s="307"/>
      <c r="D607" s="307"/>
      <c r="E607" s="307"/>
      <c r="F607" s="308"/>
    </row>
    <row r="608" spans="1:6" x14ac:dyDescent="0.25">
      <c r="A608" s="309"/>
      <c r="B608" s="310" t="s">
        <v>40</v>
      </c>
      <c r="C608" s="311" t="s">
        <v>7</v>
      </c>
      <c r="D608" s="312">
        <v>0.1</v>
      </c>
      <c r="E608" s="313">
        <f>'HARGA BAHAN'!E4</f>
        <v>125000</v>
      </c>
      <c r="F608" s="314">
        <f>+D608*E608</f>
        <v>12500</v>
      </c>
    </row>
    <row r="609" spans="1:6" x14ac:dyDescent="0.25">
      <c r="A609" s="309"/>
      <c r="B609" s="315" t="s">
        <v>86</v>
      </c>
      <c r="C609" s="316" t="s">
        <v>7</v>
      </c>
      <c r="D609" s="317">
        <v>0.2</v>
      </c>
      <c r="E609" s="313">
        <f>'HARGA BAHAN'!E5</f>
        <v>160000</v>
      </c>
      <c r="F609" s="314">
        <f>+D609*E609</f>
        <v>32000</v>
      </c>
    </row>
    <row r="610" spans="1:6" x14ac:dyDescent="0.25">
      <c r="A610" s="309"/>
      <c r="B610" s="310" t="s">
        <v>87</v>
      </c>
      <c r="C610" s="311" t="s">
        <v>7</v>
      </c>
      <c r="D610" s="312">
        <v>0.02</v>
      </c>
      <c r="E610" s="313">
        <f>'HARGA BAHAN'!E6</f>
        <v>180000</v>
      </c>
      <c r="F610" s="314">
        <f>+D610*E610</f>
        <v>3600</v>
      </c>
    </row>
    <row r="611" spans="1:6" ht="14.4" thickBot="1" x14ac:dyDescent="0.3">
      <c r="A611" s="318"/>
      <c r="B611" s="319" t="s">
        <v>42</v>
      </c>
      <c r="C611" s="320" t="s">
        <v>7</v>
      </c>
      <c r="D611" s="321">
        <v>5.0000000000000001E-3</v>
      </c>
      <c r="E611" s="313">
        <f>'HARGA BAHAN'!E7</f>
        <v>175000</v>
      </c>
      <c r="F611" s="314">
        <f>+D611*E611</f>
        <v>875</v>
      </c>
    </row>
    <row r="612" spans="1:6" ht="14.4" thickBot="1" x14ac:dyDescent="0.3">
      <c r="A612" s="322"/>
      <c r="B612" s="323"/>
      <c r="C612" s="324"/>
      <c r="D612" s="325" t="s">
        <v>8</v>
      </c>
      <c r="E612" s="326"/>
      <c r="F612" s="327">
        <f>SUM(F608:F611)</f>
        <v>48975</v>
      </c>
    </row>
    <row r="613" spans="1:6" x14ac:dyDescent="0.25">
      <c r="A613" s="328" t="s">
        <v>9</v>
      </c>
      <c r="B613" s="329" t="s">
        <v>77</v>
      </c>
      <c r="C613" s="330"/>
      <c r="D613" s="330"/>
      <c r="E613" s="330"/>
      <c r="F613" s="331"/>
    </row>
    <row r="614" spans="1:6" x14ac:dyDescent="0.25">
      <c r="A614" s="332"/>
      <c r="B614" s="333" t="s">
        <v>683</v>
      </c>
      <c r="C614" s="334" t="s">
        <v>248</v>
      </c>
      <c r="D614" s="335">
        <v>0.28000000000000003</v>
      </c>
      <c r="E614" s="336">
        <f>'HARGA BAHAN'!E35</f>
        <v>98000</v>
      </c>
      <c r="F614" s="314">
        <f>+D614*E614</f>
        <v>27440.000000000004</v>
      </c>
    </row>
    <row r="615" spans="1:6" ht="14.4" thickBot="1" x14ac:dyDescent="0.3">
      <c r="A615" s="337"/>
      <c r="B615" s="338" t="s">
        <v>183</v>
      </c>
      <c r="C615" s="339" t="s">
        <v>159</v>
      </c>
      <c r="D615" s="340">
        <v>4</v>
      </c>
      <c r="E615" s="341">
        <f>'HARGA BAHAN'!E79</f>
        <v>550</v>
      </c>
      <c r="F615" s="314">
        <f>+D615*E615</f>
        <v>2200</v>
      </c>
    </row>
    <row r="616" spans="1:6" ht="14.4" thickBot="1" x14ac:dyDescent="0.3">
      <c r="A616" s="322"/>
      <c r="B616" s="347"/>
      <c r="C616" s="347"/>
      <c r="D616" s="348" t="s">
        <v>10</v>
      </c>
      <c r="E616" s="347"/>
      <c r="F616" s="327">
        <f>SUM(F614:F615)</f>
        <v>29640.000000000004</v>
      </c>
    </row>
    <row r="617" spans="1:6" x14ac:dyDescent="0.25">
      <c r="A617" s="328" t="s">
        <v>11</v>
      </c>
      <c r="B617" s="329" t="s">
        <v>78</v>
      </c>
      <c r="C617" s="330"/>
      <c r="D617" s="330"/>
      <c r="E617" s="330"/>
      <c r="F617" s="331"/>
    </row>
    <row r="618" spans="1:6" ht="14.4" thickBot="1" x14ac:dyDescent="0.3">
      <c r="A618" s="349"/>
      <c r="B618" s="350"/>
      <c r="C618" s="351"/>
      <c r="D618" s="352"/>
      <c r="E618" s="353"/>
      <c r="F618" s="354"/>
    </row>
    <row r="619" spans="1:6" ht="14.4" thickBot="1" x14ac:dyDescent="0.3">
      <c r="A619" s="322"/>
      <c r="B619" s="323"/>
      <c r="C619" s="324"/>
      <c r="D619" s="325" t="s">
        <v>12</v>
      </c>
      <c r="E619" s="326"/>
      <c r="F619" s="327">
        <f>SUM(F618)</f>
        <v>0</v>
      </c>
    </row>
    <row r="620" spans="1:6" x14ac:dyDescent="0.25">
      <c r="A620" s="328" t="s">
        <v>13</v>
      </c>
      <c r="B620" s="329" t="s">
        <v>14</v>
      </c>
      <c r="C620" s="355"/>
      <c r="D620" s="355"/>
      <c r="E620" s="356"/>
      <c r="F620" s="357">
        <f>+F612+F616+F619</f>
        <v>78615</v>
      </c>
    </row>
    <row r="621" spans="1:6" x14ac:dyDescent="0.25">
      <c r="A621" s="305" t="s">
        <v>15</v>
      </c>
      <c r="B621" s="306" t="s">
        <v>51</v>
      </c>
      <c r="C621" s="358"/>
      <c r="D621" s="358"/>
      <c r="E621" s="359"/>
      <c r="F621" s="360">
        <f>F620*15%</f>
        <v>11792.25</v>
      </c>
    </row>
    <row r="622" spans="1:6" ht="14.4" thickBot="1" x14ac:dyDescent="0.3">
      <c r="A622" s="361" t="s">
        <v>16</v>
      </c>
      <c r="B622" s="362" t="s">
        <v>17</v>
      </c>
      <c r="C622" s="363"/>
      <c r="D622" s="363"/>
      <c r="E622" s="364"/>
      <c r="F622" s="365">
        <f>SUM(F620:F621)</f>
        <v>90407.25</v>
      </c>
    </row>
    <row r="623" spans="1:6" x14ac:dyDescent="0.25">
      <c r="A623" s="294"/>
      <c r="B623" s="225"/>
      <c r="C623" s="225"/>
      <c r="D623" s="225"/>
      <c r="E623" s="225"/>
      <c r="F623" s="295"/>
    </row>
    <row r="624" spans="1:6" ht="16.2" thickBot="1" x14ac:dyDescent="0.3">
      <c r="A624" s="71" t="s">
        <v>69</v>
      </c>
      <c r="B624" s="2" t="s">
        <v>136</v>
      </c>
      <c r="C624" s="3"/>
      <c r="D624" s="3"/>
      <c r="E624" s="3"/>
      <c r="F624" s="3"/>
    </row>
    <row r="625" spans="1:6" ht="28.2" thickBot="1" x14ac:dyDescent="0.3">
      <c r="A625" s="4" t="s">
        <v>2</v>
      </c>
      <c r="B625" s="5" t="s">
        <v>3</v>
      </c>
      <c r="C625" s="5" t="s">
        <v>0</v>
      </c>
      <c r="D625" s="5" t="s">
        <v>4</v>
      </c>
      <c r="E625" s="5" t="s">
        <v>5</v>
      </c>
      <c r="F625" s="6" t="s">
        <v>6</v>
      </c>
    </row>
    <row r="626" spans="1:6" x14ac:dyDescent="0.25">
      <c r="A626" s="7">
        <v>1</v>
      </c>
      <c r="B626" s="8">
        <v>2</v>
      </c>
      <c r="C626" s="8">
        <v>3</v>
      </c>
      <c r="D626" s="8">
        <v>4</v>
      </c>
      <c r="E626" s="8">
        <v>5</v>
      </c>
      <c r="F626" s="9">
        <v>6</v>
      </c>
    </row>
    <row r="627" spans="1:6" x14ac:dyDescent="0.25">
      <c r="A627" s="10" t="s">
        <v>1</v>
      </c>
      <c r="B627" s="11" t="s">
        <v>76</v>
      </c>
      <c r="C627" s="12"/>
      <c r="D627" s="12"/>
      <c r="E627" s="12"/>
      <c r="F627" s="13"/>
    </row>
    <row r="628" spans="1:6" x14ac:dyDescent="0.25">
      <c r="A628" s="14"/>
      <c r="B628" s="15" t="s">
        <v>40</v>
      </c>
      <c r="C628" s="16" t="s">
        <v>7</v>
      </c>
      <c r="D628" s="17">
        <v>0.02</v>
      </c>
      <c r="E628" s="18">
        <f>'HARGA BAHAN'!E4</f>
        <v>125000</v>
      </c>
      <c r="F628" s="19">
        <f>+D628*E628</f>
        <v>2500</v>
      </c>
    </row>
    <row r="629" spans="1:6" x14ac:dyDescent="0.25">
      <c r="A629" s="14"/>
      <c r="B629" s="20" t="s">
        <v>86</v>
      </c>
      <c r="C629" s="21" t="s">
        <v>7</v>
      </c>
      <c r="D629" s="22">
        <v>6.3E-2</v>
      </c>
      <c r="E629" s="18">
        <f>'HARGA BAHAN'!E5</f>
        <v>160000</v>
      </c>
      <c r="F629" s="19">
        <f>+D629*E629</f>
        <v>10080</v>
      </c>
    </row>
    <row r="630" spans="1:6" x14ac:dyDescent="0.25">
      <c r="A630" s="14"/>
      <c r="B630" s="15" t="s">
        <v>87</v>
      </c>
      <c r="C630" s="16" t="s">
        <v>7</v>
      </c>
      <c r="D630" s="69">
        <v>6.3E-3</v>
      </c>
      <c r="E630" s="18">
        <f>'HARGA BAHAN'!E6</f>
        <v>180000</v>
      </c>
      <c r="F630" s="19">
        <f>+D630*E630</f>
        <v>1134</v>
      </c>
    </row>
    <row r="631" spans="1:6" ht="14.4" thickBot="1" x14ac:dyDescent="0.3">
      <c r="A631" s="24"/>
      <c r="B631" s="25" t="s">
        <v>42</v>
      </c>
      <c r="C631" s="26" t="s">
        <v>7</v>
      </c>
      <c r="D631" s="27">
        <v>3.0000000000000001E-3</v>
      </c>
      <c r="E631" s="18">
        <f>'HARGA BAHAN'!E7</f>
        <v>175000</v>
      </c>
      <c r="F631" s="19">
        <f>+D631*E631</f>
        <v>525</v>
      </c>
    </row>
    <row r="632" spans="1:6" ht="14.4" thickBot="1" x14ac:dyDescent="0.3">
      <c r="A632" s="28"/>
      <c r="B632" s="29"/>
      <c r="C632" s="30"/>
      <c r="D632" s="31" t="s">
        <v>8</v>
      </c>
      <c r="E632" s="32"/>
      <c r="F632" s="33">
        <f>SUM(F628:F631)</f>
        <v>14239</v>
      </c>
    </row>
    <row r="633" spans="1:6" x14ac:dyDescent="0.25">
      <c r="A633" s="34" t="s">
        <v>9</v>
      </c>
      <c r="B633" s="35" t="s">
        <v>77</v>
      </c>
      <c r="C633" s="36"/>
      <c r="D633" s="36"/>
      <c r="E633" s="36"/>
      <c r="F633" s="37"/>
    </row>
    <row r="634" spans="1:6" x14ac:dyDescent="0.25">
      <c r="A634" s="38"/>
      <c r="B634" s="39" t="s">
        <v>54</v>
      </c>
      <c r="C634" s="40" t="s">
        <v>21</v>
      </c>
      <c r="D634" s="41">
        <v>0.1</v>
      </c>
      <c r="E634" s="42">
        <f>'HARGA BAHAN'!E87</f>
        <v>30000</v>
      </c>
      <c r="F634" s="19">
        <f>+D634*E634</f>
        <v>3000</v>
      </c>
    </row>
    <row r="635" spans="1:6" x14ac:dyDescent="0.25">
      <c r="A635" s="63"/>
      <c r="B635" s="64" t="s">
        <v>34</v>
      </c>
      <c r="C635" s="65" t="s">
        <v>21</v>
      </c>
      <c r="D635" s="66">
        <v>0.1</v>
      </c>
      <c r="E635" s="67">
        <f>'HARGA BAHAN'!E89</f>
        <v>42000</v>
      </c>
      <c r="F635" s="19">
        <f>+D635*E635</f>
        <v>4200</v>
      </c>
    </row>
    <row r="636" spans="1:6" ht="14.4" thickBot="1" x14ac:dyDescent="0.3">
      <c r="A636" s="63"/>
      <c r="B636" s="64" t="s">
        <v>55</v>
      </c>
      <c r="C636" s="65" t="s">
        <v>21</v>
      </c>
      <c r="D636" s="66">
        <v>0.26</v>
      </c>
      <c r="E636" s="67">
        <f>'HARGA BAHAN'!E90</f>
        <v>40000</v>
      </c>
      <c r="F636" s="19">
        <f>+D636*E636</f>
        <v>10400</v>
      </c>
    </row>
    <row r="637" spans="1:6" ht="14.4" thickBot="1" x14ac:dyDescent="0.3">
      <c r="A637" s="28"/>
      <c r="B637" s="44"/>
      <c r="C637" s="44"/>
      <c r="D637" s="45" t="s">
        <v>10</v>
      </c>
      <c r="E637" s="44"/>
      <c r="F637" s="33">
        <f>SUM(F634:F636)</f>
        <v>17600</v>
      </c>
    </row>
    <row r="638" spans="1:6" x14ac:dyDescent="0.25">
      <c r="A638" s="34" t="s">
        <v>11</v>
      </c>
      <c r="B638" s="35" t="s">
        <v>78</v>
      </c>
      <c r="C638" s="36"/>
      <c r="D638" s="36"/>
      <c r="E638" s="36"/>
      <c r="F638" s="37"/>
    </row>
    <row r="639" spans="1:6" ht="14.4" thickBot="1" x14ac:dyDescent="0.3">
      <c r="A639" s="46"/>
      <c r="B639" s="47"/>
      <c r="C639" s="48"/>
      <c r="D639" s="49"/>
      <c r="E639" s="50"/>
      <c r="F639" s="51"/>
    </row>
    <row r="640" spans="1:6" ht="14.4" thickBot="1" x14ac:dyDescent="0.3">
      <c r="A640" s="28"/>
      <c r="B640" s="29"/>
      <c r="C640" s="30"/>
      <c r="D640" s="31" t="s">
        <v>12</v>
      </c>
      <c r="E640" s="32"/>
      <c r="F640" s="33">
        <f>SUM(F639)</f>
        <v>0</v>
      </c>
    </row>
    <row r="641" spans="1:6" x14ac:dyDescent="0.25">
      <c r="A641" s="34" t="s">
        <v>13</v>
      </c>
      <c r="B641" s="35" t="s">
        <v>14</v>
      </c>
      <c r="C641" s="52"/>
      <c r="D641" s="52"/>
      <c r="E641" s="53"/>
      <c r="F641" s="54">
        <f>+F632+F637+F640</f>
        <v>31839</v>
      </c>
    </row>
    <row r="642" spans="1:6" x14ac:dyDescent="0.25">
      <c r="A642" s="10" t="s">
        <v>15</v>
      </c>
      <c r="B642" s="11" t="s">
        <v>51</v>
      </c>
      <c r="C642" s="55"/>
      <c r="D642" s="55"/>
      <c r="E642" s="56"/>
      <c r="F642" s="57">
        <f>F641*15%</f>
        <v>4775.8499999999995</v>
      </c>
    </row>
    <row r="643" spans="1:6" ht="14.4" thickBot="1" x14ac:dyDescent="0.3">
      <c r="A643" s="58" t="s">
        <v>16</v>
      </c>
      <c r="B643" s="59" t="s">
        <v>17</v>
      </c>
      <c r="C643" s="60"/>
      <c r="D643" s="60"/>
      <c r="E643" s="61"/>
      <c r="F643" s="62">
        <f>SUM(F641:F642)</f>
        <v>36614.85</v>
      </c>
    </row>
    <row r="645" spans="1:6" ht="16.2" thickBot="1" x14ac:dyDescent="0.3">
      <c r="A645" s="71" t="s">
        <v>327</v>
      </c>
      <c r="B645" s="2" t="s">
        <v>328</v>
      </c>
      <c r="C645" s="3"/>
      <c r="D645" s="3"/>
      <c r="E645" s="3"/>
      <c r="F645" s="3"/>
    </row>
    <row r="646" spans="1:6" ht="28.2" thickBot="1" x14ac:dyDescent="0.3">
      <c r="A646" s="4" t="s">
        <v>2</v>
      </c>
      <c r="B646" s="5" t="s">
        <v>3</v>
      </c>
      <c r="C646" s="5" t="s">
        <v>0</v>
      </c>
      <c r="D646" s="5" t="s">
        <v>4</v>
      </c>
      <c r="E646" s="5" t="s">
        <v>5</v>
      </c>
      <c r="F646" s="6" t="s">
        <v>6</v>
      </c>
    </row>
    <row r="647" spans="1:6" x14ac:dyDescent="0.25">
      <c r="A647" s="7">
        <v>1</v>
      </c>
      <c r="B647" s="8">
        <v>2</v>
      </c>
      <c r="C647" s="8">
        <v>3</v>
      </c>
      <c r="D647" s="8">
        <v>4</v>
      </c>
      <c r="E647" s="8">
        <v>5</v>
      </c>
      <c r="F647" s="9">
        <v>6</v>
      </c>
    </row>
    <row r="648" spans="1:6" x14ac:dyDescent="0.25">
      <c r="A648" s="10" t="s">
        <v>1</v>
      </c>
      <c r="B648" s="11" t="s">
        <v>76</v>
      </c>
      <c r="C648" s="12"/>
      <c r="D648" s="12"/>
      <c r="E648" s="12"/>
      <c r="F648" s="13"/>
    </row>
    <row r="649" spans="1:6" x14ac:dyDescent="0.25">
      <c r="A649" s="14"/>
      <c r="B649" s="15" t="s">
        <v>40</v>
      </c>
      <c r="C649" s="16" t="s">
        <v>7</v>
      </c>
      <c r="D649" s="17">
        <v>2.8000000000000001E-2</v>
      </c>
      <c r="E649" s="18">
        <f>'HARGA BAHAN'!E4</f>
        <v>125000</v>
      </c>
      <c r="F649" s="19">
        <f>+D649*E649</f>
        <v>3500</v>
      </c>
    </row>
    <row r="650" spans="1:6" x14ac:dyDescent="0.25">
      <c r="A650" s="14"/>
      <c r="B650" s="20" t="s">
        <v>86</v>
      </c>
      <c r="C650" s="21" t="s">
        <v>7</v>
      </c>
      <c r="D650" s="22">
        <v>4.2000000000000003E-2</v>
      </c>
      <c r="E650" s="18">
        <f>'HARGA BAHAN'!E5</f>
        <v>160000</v>
      </c>
      <c r="F650" s="19">
        <f>+D650*E650</f>
        <v>6720</v>
      </c>
    </row>
    <row r="651" spans="1:6" x14ac:dyDescent="0.25">
      <c r="A651" s="14"/>
      <c r="B651" s="15" t="s">
        <v>87</v>
      </c>
      <c r="C651" s="16" t="s">
        <v>7</v>
      </c>
      <c r="D651" s="69">
        <v>4.1999999999999997E-3</v>
      </c>
      <c r="E651" s="18">
        <f>'HARGA BAHAN'!E6</f>
        <v>180000</v>
      </c>
      <c r="F651" s="19">
        <f>+D651*E651</f>
        <v>756</v>
      </c>
    </row>
    <row r="652" spans="1:6" ht="14.4" thickBot="1" x14ac:dyDescent="0.3">
      <c r="A652" s="24"/>
      <c r="B652" s="25" t="s">
        <v>42</v>
      </c>
      <c r="C652" s="26" t="s">
        <v>7</v>
      </c>
      <c r="D652" s="27">
        <v>3.0000000000000001E-3</v>
      </c>
      <c r="E652" s="18">
        <f>'HARGA BAHAN'!E7</f>
        <v>175000</v>
      </c>
      <c r="F652" s="19">
        <f>+D652*E652</f>
        <v>525</v>
      </c>
    </row>
    <row r="653" spans="1:6" ht="14.4" thickBot="1" x14ac:dyDescent="0.3">
      <c r="A653" s="28"/>
      <c r="B653" s="29"/>
      <c r="C653" s="30"/>
      <c r="D653" s="31" t="s">
        <v>8</v>
      </c>
      <c r="E653" s="32"/>
      <c r="F653" s="33">
        <f>SUM(F649:F652)</f>
        <v>11501</v>
      </c>
    </row>
    <row r="654" spans="1:6" x14ac:dyDescent="0.25">
      <c r="A654" s="34" t="s">
        <v>9</v>
      </c>
      <c r="B654" s="35" t="s">
        <v>77</v>
      </c>
      <c r="C654" s="36"/>
      <c r="D654" s="36"/>
      <c r="E654" s="36"/>
      <c r="F654" s="37"/>
    </row>
    <row r="655" spans="1:6" x14ac:dyDescent="0.25">
      <c r="A655" s="63"/>
      <c r="B655" s="64" t="s">
        <v>34</v>
      </c>
      <c r="C655" s="65" t="s">
        <v>21</v>
      </c>
      <c r="D655" s="66">
        <v>0.12</v>
      </c>
      <c r="E655" s="67">
        <f>'HARGA BAHAN'!E89</f>
        <v>42000</v>
      </c>
      <c r="F655" s="19">
        <f>+D655*E655</f>
        <v>5040</v>
      </c>
    </row>
    <row r="656" spans="1:6" ht="14.4" thickBot="1" x14ac:dyDescent="0.3">
      <c r="A656" s="63"/>
      <c r="B656" s="64" t="s">
        <v>329</v>
      </c>
      <c r="C656" s="65" t="s">
        <v>21</v>
      </c>
      <c r="D656" s="66">
        <v>0.18</v>
      </c>
      <c r="E656" s="67">
        <f>'HARGA BAHAN'!E90</f>
        <v>40000</v>
      </c>
      <c r="F656" s="19">
        <f>+D656*E656</f>
        <v>7200</v>
      </c>
    </row>
    <row r="657" spans="1:6" ht="14.4" thickBot="1" x14ac:dyDescent="0.3">
      <c r="A657" s="28"/>
      <c r="B657" s="44"/>
      <c r="C657" s="44"/>
      <c r="D657" s="45" t="s">
        <v>10</v>
      </c>
      <c r="E657" s="44"/>
      <c r="F657" s="33">
        <f>SUM(F655:F656)</f>
        <v>12240</v>
      </c>
    </row>
    <row r="658" spans="1:6" x14ac:dyDescent="0.25">
      <c r="A658" s="34" t="s">
        <v>11</v>
      </c>
      <c r="B658" s="35" t="s">
        <v>78</v>
      </c>
      <c r="C658" s="36"/>
      <c r="D658" s="36"/>
      <c r="E658" s="36"/>
      <c r="F658" s="37"/>
    </row>
    <row r="659" spans="1:6" ht="14.4" thickBot="1" x14ac:dyDescent="0.3">
      <c r="A659" s="46"/>
      <c r="B659" s="47"/>
      <c r="C659" s="48"/>
      <c r="D659" s="49"/>
      <c r="E659" s="50"/>
      <c r="F659" s="51"/>
    </row>
    <row r="660" spans="1:6" ht="14.4" thickBot="1" x14ac:dyDescent="0.3">
      <c r="A660" s="28"/>
      <c r="B660" s="29"/>
      <c r="C660" s="30"/>
      <c r="D660" s="31" t="s">
        <v>12</v>
      </c>
      <c r="E660" s="32"/>
      <c r="F660" s="33">
        <f>SUM(F659)</f>
        <v>0</v>
      </c>
    </row>
    <row r="661" spans="1:6" x14ac:dyDescent="0.25">
      <c r="A661" s="34" t="s">
        <v>13</v>
      </c>
      <c r="B661" s="35" t="s">
        <v>14</v>
      </c>
      <c r="C661" s="52"/>
      <c r="D661" s="52"/>
      <c r="E661" s="53"/>
      <c r="F661" s="54">
        <f>+F653+F657+F660</f>
        <v>23741</v>
      </c>
    </row>
    <row r="662" spans="1:6" x14ac:dyDescent="0.25">
      <c r="A662" s="10" t="s">
        <v>15</v>
      </c>
      <c r="B662" s="11" t="s">
        <v>51</v>
      </c>
      <c r="C662" s="55"/>
      <c r="D662" s="55"/>
      <c r="E662" s="56"/>
      <c r="F662" s="57">
        <f>F661*15%</f>
        <v>3561.15</v>
      </c>
    </row>
    <row r="663" spans="1:6" ht="14.4" thickBot="1" x14ac:dyDescent="0.3">
      <c r="A663" s="58" t="s">
        <v>16</v>
      </c>
      <c r="B663" s="59" t="s">
        <v>17</v>
      </c>
      <c r="C663" s="60"/>
      <c r="D663" s="60"/>
      <c r="E663" s="61"/>
      <c r="F663" s="62">
        <f>SUM(F661:F662)</f>
        <v>27302.15</v>
      </c>
    </row>
    <row r="665" spans="1:6" ht="14.4" thickBot="1" x14ac:dyDescent="0.3">
      <c r="A665" s="71" t="s">
        <v>283</v>
      </c>
      <c r="B665" s="2" t="s">
        <v>284</v>
      </c>
      <c r="C665" s="3"/>
      <c r="D665" s="3"/>
      <c r="E665" s="3"/>
      <c r="F665" s="3"/>
    </row>
    <row r="666" spans="1:6" ht="28.2" thickBot="1" x14ac:dyDescent="0.3">
      <c r="A666" s="4" t="s">
        <v>2</v>
      </c>
      <c r="B666" s="5" t="s">
        <v>3</v>
      </c>
      <c r="C666" s="5" t="s">
        <v>0</v>
      </c>
      <c r="D666" s="5" t="s">
        <v>4</v>
      </c>
      <c r="E666" s="5" t="s">
        <v>5</v>
      </c>
      <c r="F666" s="6" t="s">
        <v>6</v>
      </c>
    </row>
    <row r="667" spans="1:6" x14ac:dyDescent="0.25">
      <c r="A667" s="7">
        <v>1</v>
      </c>
      <c r="B667" s="8">
        <v>2</v>
      </c>
      <c r="C667" s="8">
        <v>3</v>
      </c>
      <c r="D667" s="8">
        <v>4</v>
      </c>
      <c r="E667" s="8">
        <v>5</v>
      </c>
      <c r="F667" s="9">
        <v>6</v>
      </c>
    </row>
    <row r="668" spans="1:6" x14ac:dyDescent="0.25">
      <c r="A668" s="10" t="s">
        <v>1</v>
      </c>
      <c r="B668" s="11" t="s">
        <v>150</v>
      </c>
      <c r="C668" s="12"/>
      <c r="D668" s="12"/>
      <c r="E668" s="12"/>
      <c r="F668" s="13"/>
    </row>
    <row r="669" spans="1:6" x14ac:dyDescent="0.25">
      <c r="A669" s="14"/>
      <c r="B669" s="15" t="s">
        <v>151</v>
      </c>
      <c r="C669" s="16" t="s">
        <v>7</v>
      </c>
      <c r="D669" s="17">
        <v>7.0000000000000007E-2</v>
      </c>
      <c r="E669" s="18">
        <f>'HARGA BAHAN'!E4</f>
        <v>125000</v>
      </c>
      <c r="F669" s="19">
        <f>+D669*E669</f>
        <v>8750</v>
      </c>
    </row>
    <row r="670" spans="1:6" x14ac:dyDescent="0.25">
      <c r="A670" s="14"/>
      <c r="B670" s="20" t="s">
        <v>285</v>
      </c>
      <c r="C670" s="21" t="s">
        <v>7</v>
      </c>
      <c r="D670" s="22">
        <v>0.09</v>
      </c>
      <c r="E670" s="23">
        <f>'HARGA BAHAN'!E5</f>
        <v>160000</v>
      </c>
      <c r="F670" s="159">
        <f>+D670*E670</f>
        <v>14400</v>
      </c>
    </row>
    <row r="671" spans="1:6" x14ac:dyDescent="0.25">
      <c r="A671" s="14"/>
      <c r="B671" s="15" t="s">
        <v>153</v>
      </c>
      <c r="C671" s="16" t="s">
        <v>7</v>
      </c>
      <c r="D671" s="17">
        <v>6.0000000000000001E-3</v>
      </c>
      <c r="E671" s="23">
        <f>'HARGA BAHAN'!E6</f>
        <v>180000</v>
      </c>
      <c r="F671" s="19">
        <f>+D671*E671</f>
        <v>1080</v>
      </c>
    </row>
    <row r="672" spans="1:6" ht="14.4" thickBot="1" x14ac:dyDescent="0.3">
      <c r="A672" s="24"/>
      <c r="B672" s="25" t="s">
        <v>154</v>
      </c>
      <c r="C672" s="26" t="s">
        <v>7</v>
      </c>
      <c r="D672" s="70">
        <v>3.0000000000000001E-3</v>
      </c>
      <c r="E672" s="23">
        <f>'HARGA BAHAN'!E7</f>
        <v>175000</v>
      </c>
      <c r="F672" s="157">
        <f>+D672*E672</f>
        <v>525</v>
      </c>
    </row>
    <row r="673" spans="1:6" ht="14.4" thickBot="1" x14ac:dyDescent="0.3">
      <c r="A673" s="28"/>
      <c r="B673" s="29"/>
      <c r="C673" s="30"/>
      <c r="D673" s="31" t="s">
        <v>8</v>
      </c>
      <c r="E673" s="32"/>
      <c r="F673" s="33">
        <f>SUM(F669:F672)</f>
        <v>24755</v>
      </c>
    </row>
    <row r="674" spans="1:6" x14ac:dyDescent="0.25">
      <c r="A674" s="34" t="s">
        <v>9</v>
      </c>
      <c r="B674" s="35" t="s">
        <v>155</v>
      </c>
      <c r="C674" s="36"/>
      <c r="D674" s="36"/>
      <c r="E674" s="36"/>
      <c r="F674" s="37"/>
    </row>
    <row r="675" spans="1:6" x14ac:dyDescent="0.25">
      <c r="A675" s="46"/>
      <c r="B675" s="47" t="s">
        <v>286</v>
      </c>
      <c r="C675" s="48" t="s">
        <v>213</v>
      </c>
      <c r="D675" s="49">
        <v>0.2</v>
      </c>
      <c r="E675" s="50">
        <f>'HARGA BAHAN'!E88</f>
        <v>62000</v>
      </c>
      <c r="F675" s="51">
        <f t="shared" ref="F675:F681" si="6">+D675*E675</f>
        <v>12400</v>
      </c>
    </row>
    <row r="676" spans="1:6" x14ac:dyDescent="0.25">
      <c r="A676" s="14"/>
      <c r="B676" s="15" t="s">
        <v>287</v>
      </c>
      <c r="C676" s="16" t="s">
        <v>213</v>
      </c>
      <c r="D676" s="17">
        <v>0.15</v>
      </c>
      <c r="E676" s="18">
        <f>'HARGA BAHAN'!E87</f>
        <v>30000</v>
      </c>
      <c r="F676" s="19">
        <f t="shared" si="6"/>
        <v>4500</v>
      </c>
    </row>
    <row r="677" spans="1:6" x14ac:dyDescent="0.25">
      <c r="A677" s="14"/>
      <c r="B677" s="15" t="s">
        <v>288</v>
      </c>
      <c r="C677" s="16" t="s">
        <v>213</v>
      </c>
      <c r="D677" s="17">
        <v>0.17</v>
      </c>
      <c r="E677" s="18">
        <f>'HARGA BAHAN'!E89</f>
        <v>42000</v>
      </c>
      <c r="F677" s="19">
        <f t="shared" si="6"/>
        <v>7140.0000000000009</v>
      </c>
    </row>
    <row r="678" spans="1:6" x14ac:dyDescent="0.25">
      <c r="A678" s="14"/>
      <c r="B678" s="15" t="s">
        <v>294</v>
      </c>
      <c r="C678" s="16" t="s">
        <v>213</v>
      </c>
      <c r="D678" s="17">
        <v>0.26</v>
      </c>
      <c r="E678" s="18">
        <f>'HARGA BAHAN'!E91</f>
        <v>85000</v>
      </c>
      <c r="F678" s="19">
        <f t="shared" si="6"/>
        <v>22100</v>
      </c>
    </row>
    <row r="679" spans="1:6" x14ac:dyDescent="0.25">
      <c r="A679" s="14"/>
      <c r="B679" s="15" t="s">
        <v>298</v>
      </c>
      <c r="C679" s="16" t="s">
        <v>213</v>
      </c>
      <c r="D679" s="17">
        <v>0.01</v>
      </c>
      <c r="E679" s="18">
        <f>'HARGA BAHAN'!E95</f>
        <v>35000</v>
      </c>
      <c r="F679" s="19">
        <f t="shared" si="6"/>
        <v>350</v>
      </c>
    </row>
    <row r="680" spans="1:6" x14ac:dyDescent="0.25">
      <c r="A680" s="14"/>
      <c r="B680" s="15" t="s">
        <v>289</v>
      </c>
      <c r="C680" s="16" t="s">
        <v>290</v>
      </c>
      <c r="D680" s="17">
        <v>0.03</v>
      </c>
      <c r="E680" s="18">
        <f>'HARGA BAHAN'!E92</f>
        <v>30000</v>
      </c>
      <c r="F680" s="19">
        <f t="shared" si="6"/>
        <v>900</v>
      </c>
    </row>
    <row r="681" spans="1:6" ht="14.4" thickBot="1" x14ac:dyDescent="0.3">
      <c r="A681" s="14"/>
      <c r="B681" s="15" t="s">
        <v>291</v>
      </c>
      <c r="C681" s="16" t="s">
        <v>248</v>
      </c>
      <c r="D681" s="17">
        <v>0.2</v>
      </c>
      <c r="E681" s="18">
        <f>'HARGA BAHAN'!E96</f>
        <v>5000</v>
      </c>
      <c r="F681" s="19">
        <f t="shared" si="6"/>
        <v>1000</v>
      </c>
    </row>
    <row r="682" spans="1:6" ht="14.4" thickBot="1" x14ac:dyDescent="0.3">
      <c r="A682" s="28"/>
      <c r="B682" s="44"/>
      <c r="C682" s="44"/>
      <c r="D682" s="45" t="s">
        <v>10</v>
      </c>
      <c r="E682" s="44"/>
      <c r="F682" s="33">
        <f>SUM(F675:F681)</f>
        <v>48390</v>
      </c>
    </row>
    <row r="683" spans="1:6" ht="14.4" thickBot="1" x14ac:dyDescent="0.3">
      <c r="A683" s="34" t="s">
        <v>11</v>
      </c>
      <c r="B683" s="35" t="s">
        <v>160</v>
      </c>
      <c r="C683" s="36"/>
      <c r="D683" s="36"/>
      <c r="E683" s="36"/>
      <c r="F683" s="37"/>
    </row>
    <row r="684" spans="1:6" ht="14.4" thickBot="1" x14ac:dyDescent="0.3">
      <c r="A684" s="28"/>
      <c r="B684" s="29"/>
      <c r="C684" s="30"/>
      <c r="D684" s="31" t="s">
        <v>12</v>
      </c>
      <c r="E684" s="32"/>
      <c r="F684" s="33">
        <v>0</v>
      </c>
    </row>
    <row r="685" spans="1:6" x14ac:dyDescent="0.25">
      <c r="A685" s="34" t="s">
        <v>13</v>
      </c>
      <c r="B685" s="35" t="s">
        <v>14</v>
      </c>
      <c r="C685" s="52"/>
      <c r="D685" s="52"/>
      <c r="E685" s="53"/>
      <c r="F685" s="54">
        <f>+F673+F682+F684</f>
        <v>73145</v>
      </c>
    </row>
    <row r="686" spans="1:6" x14ac:dyDescent="0.25">
      <c r="A686" s="10" t="s">
        <v>15</v>
      </c>
      <c r="B686" s="11" t="s">
        <v>292</v>
      </c>
      <c r="C686" s="55"/>
      <c r="D686" s="55"/>
      <c r="E686" s="56"/>
      <c r="F686" s="57">
        <v>0</v>
      </c>
    </row>
    <row r="687" spans="1:6" ht="14.4" thickBot="1" x14ac:dyDescent="0.3">
      <c r="A687" s="58" t="s">
        <v>16</v>
      </c>
      <c r="B687" s="59" t="s">
        <v>17</v>
      </c>
      <c r="C687" s="60"/>
      <c r="D687" s="60"/>
      <c r="E687" s="61"/>
      <c r="F687" s="62">
        <f>SUM(F685:F686)</f>
        <v>73145</v>
      </c>
    </row>
    <row r="689" spans="1:6" ht="14.4" thickBot="1" x14ac:dyDescent="0.3">
      <c r="A689" s="426" t="s">
        <v>304</v>
      </c>
      <c r="B689" s="427" t="s">
        <v>305</v>
      </c>
      <c r="C689" s="428"/>
      <c r="D689" s="428"/>
      <c r="E689" s="428"/>
      <c r="F689" s="428"/>
    </row>
    <row r="690" spans="1:6" ht="28.2" thickBot="1" x14ac:dyDescent="0.3">
      <c r="A690" s="429" t="s">
        <v>2</v>
      </c>
      <c r="B690" s="430" t="s">
        <v>3</v>
      </c>
      <c r="C690" s="430" t="s">
        <v>0</v>
      </c>
      <c r="D690" s="430" t="s">
        <v>4</v>
      </c>
      <c r="E690" s="430" t="s">
        <v>5</v>
      </c>
      <c r="F690" s="431" t="s">
        <v>6</v>
      </c>
    </row>
    <row r="691" spans="1:6" x14ac:dyDescent="0.25">
      <c r="A691" s="432">
        <v>1</v>
      </c>
      <c r="B691" s="433">
        <v>2</v>
      </c>
      <c r="C691" s="433">
        <v>3</v>
      </c>
      <c r="D691" s="433">
        <v>4</v>
      </c>
      <c r="E691" s="433">
        <v>5</v>
      </c>
      <c r="F691" s="434">
        <v>6</v>
      </c>
    </row>
    <row r="692" spans="1:6" x14ac:dyDescent="0.25">
      <c r="A692" s="435" t="s">
        <v>1</v>
      </c>
      <c r="B692" s="436" t="s">
        <v>150</v>
      </c>
      <c r="C692" s="437"/>
      <c r="D692" s="437"/>
      <c r="E692" s="437"/>
      <c r="F692" s="438"/>
    </row>
    <row r="693" spans="1:6" x14ac:dyDescent="0.25">
      <c r="A693" s="439"/>
      <c r="B693" s="440" t="s">
        <v>151</v>
      </c>
      <c r="C693" s="441" t="s">
        <v>7</v>
      </c>
      <c r="D693" s="442">
        <v>0.15</v>
      </c>
      <c r="E693" s="443">
        <f>'HARGA BAHAN'!E4</f>
        <v>125000</v>
      </c>
      <c r="F693" s="444">
        <f t="shared" ref="F693:F694" si="7">+D693*E693</f>
        <v>18750</v>
      </c>
    </row>
    <row r="694" spans="1:6" ht="14.4" thickBot="1" x14ac:dyDescent="0.3">
      <c r="A694" s="445"/>
      <c r="B694" s="446" t="s">
        <v>154</v>
      </c>
      <c r="C694" s="447" t="s">
        <v>7</v>
      </c>
      <c r="D694" s="448">
        <v>3.0000000000000001E-3</v>
      </c>
      <c r="E694" s="443">
        <f>'HARGA BAHAN'!E7</f>
        <v>175000</v>
      </c>
      <c r="F694" s="449">
        <f t="shared" si="7"/>
        <v>525</v>
      </c>
    </row>
    <row r="695" spans="1:6" ht="14.4" thickBot="1" x14ac:dyDescent="0.3">
      <c r="A695" s="450"/>
      <c r="B695" s="451"/>
      <c r="C695" s="452"/>
      <c r="D695" s="453" t="s">
        <v>8</v>
      </c>
      <c r="E695" s="454"/>
      <c r="F695" s="455">
        <f>SUM(F693:F694)</f>
        <v>19275</v>
      </c>
    </row>
    <row r="696" spans="1:6" x14ac:dyDescent="0.25">
      <c r="A696" s="456" t="s">
        <v>9</v>
      </c>
      <c r="B696" s="457" t="s">
        <v>155</v>
      </c>
      <c r="C696" s="458"/>
      <c r="D696" s="458"/>
      <c r="E696" s="458"/>
      <c r="F696" s="459"/>
    </row>
    <row r="697" spans="1:6" x14ac:dyDescent="0.25">
      <c r="A697" s="460"/>
      <c r="B697" s="461" t="s">
        <v>306</v>
      </c>
      <c r="C697" s="462" t="s">
        <v>21</v>
      </c>
      <c r="D697" s="463">
        <v>0.05</v>
      </c>
      <c r="E697" s="464">
        <f>'HARGA BAHAN'!E100</f>
        <v>83850</v>
      </c>
      <c r="F697" s="465">
        <f t="shared" ref="F697" si="8">+D697*E697</f>
        <v>4192.5</v>
      </c>
    </row>
    <row r="698" spans="1:6" ht="14.4" thickBot="1" x14ac:dyDescent="0.3">
      <c r="A698" s="460"/>
      <c r="B698" s="461"/>
      <c r="C698" s="462"/>
      <c r="D698" s="463"/>
      <c r="E698" s="464"/>
      <c r="F698" s="465"/>
    </row>
    <row r="699" spans="1:6" ht="14.4" thickBot="1" x14ac:dyDescent="0.3">
      <c r="A699" s="450"/>
      <c r="B699" s="466"/>
      <c r="C699" s="466"/>
      <c r="D699" s="467" t="s">
        <v>10</v>
      </c>
      <c r="E699" s="466"/>
      <c r="F699" s="455">
        <f>SUM(F697:F698)</f>
        <v>4192.5</v>
      </c>
    </row>
    <row r="700" spans="1:6" x14ac:dyDescent="0.25">
      <c r="A700" s="456" t="s">
        <v>11</v>
      </c>
      <c r="B700" s="457" t="s">
        <v>160</v>
      </c>
      <c r="C700" s="458"/>
      <c r="D700" s="458"/>
      <c r="E700" s="458"/>
      <c r="F700" s="459"/>
    </row>
    <row r="701" spans="1:6" ht="14.4" thickBot="1" x14ac:dyDescent="0.3">
      <c r="A701" s="468"/>
      <c r="B701" s="469"/>
      <c r="C701" s="470"/>
      <c r="D701" s="471"/>
      <c r="E701" s="472"/>
      <c r="F701" s="473"/>
    </row>
    <row r="702" spans="1:6" ht="14.4" thickBot="1" x14ac:dyDescent="0.3">
      <c r="A702" s="450"/>
      <c r="B702" s="451"/>
      <c r="C702" s="452"/>
      <c r="D702" s="453" t="s">
        <v>12</v>
      </c>
      <c r="E702" s="454"/>
      <c r="F702" s="455">
        <f>SUM(F701)</f>
        <v>0</v>
      </c>
    </row>
    <row r="703" spans="1:6" x14ac:dyDescent="0.25">
      <c r="A703" s="456" t="s">
        <v>13</v>
      </c>
      <c r="B703" s="457" t="s">
        <v>14</v>
      </c>
      <c r="C703" s="474"/>
      <c r="D703" s="474"/>
      <c r="E703" s="475"/>
      <c r="F703" s="476">
        <f>+F695+F699+F702</f>
        <v>23467.5</v>
      </c>
    </row>
    <row r="704" spans="1:6" x14ac:dyDescent="0.25">
      <c r="A704" s="435" t="s">
        <v>15</v>
      </c>
      <c r="B704" s="436" t="s">
        <v>51</v>
      </c>
      <c r="C704" s="477"/>
      <c r="D704" s="477"/>
      <c r="E704" s="478"/>
      <c r="F704" s="479">
        <f>F703*15%</f>
        <v>3520.125</v>
      </c>
    </row>
    <row r="705" spans="1:6" ht="14.4" thickBot="1" x14ac:dyDescent="0.3">
      <c r="A705" s="480" t="s">
        <v>16</v>
      </c>
      <c r="B705" s="481" t="s">
        <v>17</v>
      </c>
      <c r="C705" s="482"/>
      <c r="D705" s="482"/>
      <c r="E705" s="483"/>
      <c r="F705" s="484">
        <f>SUM(F703:F704)</f>
        <v>26987.625</v>
      </c>
    </row>
    <row r="707" spans="1:6" ht="14.4" thickBot="1" x14ac:dyDescent="0.3">
      <c r="A707" s="71" t="s">
        <v>307</v>
      </c>
      <c r="B707" s="2" t="s">
        <v>308</v>
      </c>
      <c r="C707" s="3"/>
      <c r="D707" s="3"/>
      <c r="E707" s="3"/>
      <c r="F707" s="3"/>
    </row>
    <row r="708" spans="1:6" ht="28.2" thickBot="1" x14ac:dyDescent="0.3">
      <c r="A708" s="4" t="s">
        <v>2</v>
      </c>
      <c r="B708" s="5" t="s">
        <v>3</v>
      </c>
      <c r="C708" s="5" t="s">
        <v>0</v>
      </c>
      <c r="D708" s="5" t="s">
        <v>4</v>
      </c>
      <c r="E708" s="5" t="s">
        <v>5</v>
      </c>
      <c r="F708" s="6" t="s">
        <v>6</v>
      </c>
    </row>
    <row r="709" spans="1:6" x14ac:dyDescent="0.25">
      <c r="A709" s="7">
        <v>1</v>
      </c>
      <c r="B709" s="8">
        <v>2</v>
      </c>
      <c r="C709" s="8">
        <v>3</v>
      </c>
      <c r="D709" s="8">
        <v>4</v>
      </c>
      <c r="E709" s="8">
        <v>5</v>
      </c>
      <c r="F709" s="9">
        <v>6</v>
      </c>
    </row>
    <row r="710" spans="1:6" x14ac:dyDescent="0.25">
      <c r="A710" s="10" t="s">
        <v>1</v>
      </c>
      <c r="B710" s="11" t="s">
        <v>76</v>
      </c>
      <c r="C710" s="12"/>
      <c r="D710" s="12"/>
      <c r="E710" s="12"/>
      <c r="F710" s="13"/>
    </row>
    <row r="711" spans="1:6" x14ac:dyDescent="0.25">
      <c r="A711" s="14"/>
      <c r="B711" s="15" t="s">
        <v>40</v>
      </c>
      <c r="C711" s="16" t="s">
        <v>7</v>
      </c>
      <c r="D711" s="17">
        <v>0.01</v>
      </c>
      <c r="E711" s="18">
        <f>'HARGA BAHAN'!E4</f>
        <v>125000</v>
      </c>
      <c r="F711" s="19">
        <f>+D711*E711</f>
        <v>1250</v>
      </c>
    </row>
    <row r="712" spans="1:6" x14ac:dyDescent="0.25">
      <c r="A712" s="14"/>
      <c r="B712" s="20" t="s">
        <v>41</v>
      </c>
      <c r="C712" s="21" t="s">
        <v>7</v>
      </c>
      <c r="D712" s="22">
        <v>0.4</v>
      </c>
      <c r="E712" s="18">
        <f>'HARGA BAHAN'!E5</f>
        <v>160000</v>
      </c>
      <c r="F712" s="19">
        <f>+D712*E712</f>
        <v>64000</v>
      </c>
    </row>
    <row r="713" spans="1:6" x14ac:dyDescent="0.25">
      <c r="A713" s="14"/>
      <c r="B713" s="15" t="s">
        <v>87</v>
      </c>
      <c r="C713" s="16" t="s">
        <v>7</v>
      </c>
      <c r="D713" s="17">
        <v>0.04</v>
      </c>
      <c r="E713" s="18">
        <f>'HARGA BAHAN'!E6</f>
        <v>180000</v>
      </c>
      <c r="F713" s="19">
        <f>+D713*E713</f>
        <v>7200</v>
      </c>
    </row>
    <row r="714" spans="1:6" ht="14.4" thickBot="1" x14ac:dyDescent="0.3">
      <c r="A714" s="24"/>
      <c r="B714" s="25" t="s">
        <v>42</v>
      </c>
      <c r="C714" s="26" t="s">
        <v>7</v>
      </c>
      <c r="D714" s="27">
        <v>5.0000000000000001E-3</v>
      </c>
      <c r="E714" s="18">
        <f>'HARGA BAHAN'!E7</f>
        <v>175000</v>
      </c>
      <c r="F714" s="19">
        <f>+D714*E714</f>
        <v>875</v>
      </c>
    </row>
    <row r="715" spans="1:6" ht="14.4" thickBot="1" x14ac:dyDescent="0.3">
      <c r="A715" s="28"/>
      <c r="B715" s="29"/>
      <c r="C715" s="30"/>
      <c r="D715" s="31" t="s">
        <v>8</v>
      </c>
      <c r="E715" s="32"/>
      <c r="F715" s="33">
        <f>SUM(F711:F714)</f>
        <v>73325</v>
      </c>
    </row>
    <row r="716" spans="1:6" x14ac:dyDescent="0.25">
      <c r="A716" s="34" t="s">
        <v>9</v>
      </c>
      <c r="B716" s="35" t="s">
        <v>77</v>
      </c>
      <c r="C716" s="36"/>
      <c r="D716" s="36"/>
      <c r="E716" s="36"/>
      <c r="F716" s="37"/>
    </row>
    <row r="717" spans="1:6" x14ac:dyDescent="0.25">
      <c r="A717" s="38"/>
      <c r="B717" s="39" t="s">
        <v>309</v>
      </c>
      <c r="C717" s="40" t="s">
        <v>159</v>
      </c>
      <c r="D717" s="75">
        <v>1</v>
      </c>
      <c r="E717" s="42">
        <f>'HARGA BAHAN'!E108</f>
        <v>180000</v>
      </c>
      <c r="F717" s="43">
        <f>+D717*E717</f>
        <v>180000</v>
      </c>
    </row>
    <row r="718" spans="1:6" ht="14.4" thickBot="1" x14ac:dyDescent="0.3">
      <c r="A718" s="68"/>
      <c r="B718" s="20" t="s">
        <v>310</v>
      </c>
      <c r="C718" s="21" t="s">
        <v>20</v>
      </c>
      <c r="D718" s="76">
        <v>2.5000000000000001E-2</v>
      </c>
      <c r="E718" s="23">
        <f>'HARGA BAHAN'!E114</f>
        <v>7600</v>
      </c>
      <c r="F718" s="19">
        <f>+D718*E718</f>
        <v>190</v>
      </c>
    </row>
    <row r="719" spans="1:6" ht="14.4" thickBot="1" x14ac:dyDescent="0.3">
      <c r="A719" s="28"/>
      <c r="B719" s="44"/>
      <c r="C719" s="44"/>
      <c r="D719" s="45" t="s">
        <v>10</v>
      </c>
      <c r="E719" s="44"/>
      <c r="F719" s="33">
        <f>SUM(F717:F718)</f>
        <v>180190</v>
      </c>
    </row>
    <row r="720" spans="1:6" x14ac:dyDescent="0.25">
      <c r="A720" s="34" t="s">
        <v>11</v>
      </c>
      <c r="B720" s="35" t="s">
        <v>78</v>
      </c>
      <c r="C720" s="36"/>
      <c r="D720" s="36"/>
      <c r="E720" s="36"/>
      <c r="F720" s="37"/>
    </row>
    <row r="721" spans="1:6" ht="14.4" thickBot="1" x14ac:dyDescent="0.3">
      <c r="A721" s="46"/>
      <c r="B721" s="47"/>
      <c r="C721" s="48"/>
      <c r="D721" s="49"/>
      <c r="E721" s="50"/>
      <c r="F721" s="51"/>
    </row>
    <row r="722" spans="1:6" ht="14.4" thickBot="1" x14ac:dyDescent="0.3">
      <c r="A722" s="28"/>
      <c r="B722" s="29"/>
      <c r="C722" s="30"/>
      <c r="D722" s="31" t="s">
        <v>12</v>
      </c>
      <c r="E722" s="32"/>
      <c r="F722" s="33">
        <f>SUM(F721)</f>
        <v>0</v>
      </c>
    </row>
    <row r="723" spans="1:6" x14ac:dyDescent="0.25">
      <c r="A723" s="34" t="s">
        <v>13</v>
      </c>
      <c r="B723" s="35" t="s">
        <v>14</v>
      </c>
      <c r="C723" s="52"/>
      <c r="D723" s="52"/>
      <c r="E723" s="53"/>
      <c r="F723" s="54">
        <f>+F715+F719+F722</f>
        <v>253515</v>
      </c>
    </row>
    <row r="724" spans="1:6" x14ac:dyDescent="0.25">
      <c r="A724" s="10" t="s">
        <v>15</v>
      </c>
      <c r="B724" s="11" t="s">
        <v>51</v>
      </c>
      <c r="C724" s="55"/>
      <c r="D724" s="55"/>
      <c r="E724" s="56"/>
      <c r="F724" s="57">
        <f>F723*15%</f>
        <v>38027.25</v>
      </c>
    </row>
    <row r="725" spans="1:6" ht="14.4" thickBot="1" x14ac:dyDescent="0.3">
      <c r="A725" s="58" t="s">
        <v>16</v>
      </c>
      <c r="B725" s="59" t="s">
        <v>17</v>
      </c>
      <c r="C725" s="60"/>
      <c r="D725" s="60"/>
      <c r="E725" s="61"/>
      <c r="F725" s="62">
        <f>SUM(F723:F724)</f>
        <v>291542.25</v>
      </c>
    </row>
    <row r="727" spans="1:6" ht="14.4" thickBot="1" x14ac:dyDescent="0.3">
      <c r="A727" s="160" t="s">
        <v>605</v>
      </c>
      <c r="B727" s="161" t="s">
        <v>606</v>
      </c>
      <c r="C727" s="162"/>
      <c r="D727" s="162"/>
      <c r="E727" s="162"/>
      <c r="F727" s="162"/>
    </row>
    <row r="728" spans="1:6" ht="28.2" thickBot="1" x14ac:dyDescent="0.3">
      <c r="A728" s="163" t="s">
        <v>2</v>
      </c>
      <c r="B728" s="164" t="s">
        <v>3</v>
      </c>
      <c r="C728" s="164" t="s">
        <v>0</v>
      </c>
      <c r="D728" s="164" t="s">
        <v>4</v>
      </c>
      <c r="E728" s="164" t="s">
        <v>5</v>
      </c>
      <c r="F728" s="165" t="s">
        <v>6</v>
      </c>
    </row>
    <row r="729" spans="1:6" x14ac:dyDescent="0.25">
      <c r="A729" s="166">
        <v>1</v>
      </c>
      <c r="B729" s="167">
        <v>2</v>
      </c>
      <c r="C729" s="167">
        <v>3</v>
      </c>
      <c r="D729" s="167">
        <v>4</v>
      </c>
      <c r="E729" s="167">
        <v>5</v>
      </c>
      <c r="F729" s="168">
        <v>6</v>
      </c>
    </row>
    <row r="730" spans="1:6" x14ac:dyDescent="0.25">
      <c r="A730" s="169" t="s">
        <v>1</v>
      </c>
      <c r="B730" s="170" t="s">
        <v>76</v>
      </c>
      <c r="C730" s="171"/>
      <c r="D730" s="171"/>
      <c r="E730" s="171"/>
      <c r="F730" s="172"/>
    </row>
    <row r="731" spans="1:6" x14ac:dyDescent="0.25">
      <c r="A731" s="173"/>
      <c r="B731" s="174" t="s">
        <v>40</v>
      </c>
      <c r="C731" s="175" t="s">
        <v>7</v>
      </c>
      <c r="D731" s="176">
        <v>0.01</v>
      </c>
      <c r="E731" s="177">
        <f>'HARGA BAHAN'!E4</f>
        <v>125000</v>
      </c>
      <c r="F731" s="178">
        <f>+D731*E731</f>
        <v>1250</v>
      </c>
    </row>
    <row r="732" spans="1:6" x14ac:dyDescent="0.25">
      <c r="A732" s="173"/>
      <c r="B732" s="179" t="s">
        <v>41</v>
      </c>
      <c r="C732" s="180" t="s">
        <v>7</v>
      </c>
      <c r="D732" s="181">
        <v>0.4</v>
      </c>
      <c r="E732" s="177">
        <f>'HARGA BAHAN'!E5</f>
        <v>160000</v>
      </c>
      <c r="F732" s="178">
        <f>+D732*E732</f>
        <v>64000</v>
      </c>
    </row>
    <row r="733" spans="1:6" x14ac:dyDescent="0.25">
      <c r="A733" s="173"/>
      <c r="B733" s="174" t="s">
        <v>87</v>
      </c>
      <c r="C733" s="175" t="s">
        <v>7</v>
      </c>
      <c r="D733" s="176">
        <v>0.04</v>
      </c>
      <c r="E733" s="177">
        <f>'HARGA BAHAN'!E6</f>
        <v>180000</v>
      </c>
      <c r="F733" s="178">
        <f>+D733*E733</f>
        <v>7200</v>
      </c>
    </row>
    <row r="734" spans="1:6" ht="14.4" thickBot="1" x14ac:dyDescent="0.3">
      <c r="A734" s="182"/>
      <c r="B734" s="183" t="s">
        <v>42</v>
      </c>
      <c r="C734" s="184" t="s">
        <v>7</v>
      </c>
      <c r="D734" s="185">
        <v>5.0000000000000001E-3</v>
      </c>
      <c r="E734" s="177">
        <f>'HARGA BAHAN'!E7</f>
        <v>175000</v>
      </c>
      <c r="F734" s="178">
        <f>+D734*E734</f>
        <v>875</v>
      </c>
    </row>
    <row r="735" spans="1:6" ht="14.4" thickBot="1" x14ac:dyDescent="0.3">
      <c r="A735" s="186"/>
      <c r="B735" s="187"/>
      <c r="C735" s="188"/>
      <c r="D735" s="189" t="s">
        <v>8</v>
      </c>
      <c r="E735" s="190"/>
      <c r="F735" s="191">
        <f>SUM(F731:F734)</f>
        <v>73325</v>
      </c>
    </row>
    <row r="736" spans="1:6" x14ac:dyDescent="0.25">
      <c r="A736" s="192" t="s">
        <v>9</v>
      </c>
      <c r="B736" s="193" t="s">
        <v>77</v>
      </c>
      <c r="C736" s="194"/>
      <c r="D736" s="194"/>
      <c r="E736" s="194"/>
      <c r="F736" s="195"/>
    </row>
    <row r="737" spans="1:6" x14ac:dyDescent="0.25">
      <c r="A737" s="196"/>
      <c r="B737" s="197" t="s">
        <v>607</v>
      </c>
      <c r="C737" s="198" t="s">
        <v>159</v>
      </c>
      <c r="D737" s="199">
        <v>1</v>
      </c>
      <c r="E737" s="200">
        <f>'HARGA BAHAN'!E109</f>
        <v>248000</v>
      </c>
      <c r="F737" s="201">
        <f>+D737*E737</f>
        <v>248000</v>
      </c>
    </row>
    <row r="738" spans="1:6" ht="14.4" thickBot="1" x14ac:dyDescent="0.3">
      <c r="A738" s="202"/>
      <c r="B738" s="179" t="s">
        <v>310</v>
      </c>
      <c r="C738" s="180" t="s">
        <v>20</v>
      </c>
      <c r="D738" s="203">
        <v>0.05</v>
      </c>
      <c r="E738" s="204">
        <f>'HARGA BAHAN'!E114</f>
        <v>7600</v>
      </c>
      <c r="F738" s="178">
        <f>+D738*E738</f>
        <v>380</v>
      </c>
    </row>
    <row r="739" spans="1:6" ht="14.4" thickBot="1" x14ac:dyDescent="0.3">
      <c r="A739" s="186"/>
      <c r="B739" s="205"/>
      <c r="C739" s="205"/>
      <c r="D739" s="206" t="s">
        <v>10</v>
      </c>
      <c r="E739" s="205"/>
      <c r="F739" s="191">
        <f>SUM(F737:F738)</f>
        <v>248380</v>
      </c>
    </row>
    <row r="740" spans="1:6" x14ac:dyDescent="0.25">
      <c r="A740" s="192" t="s">
        <v>11</v>
      </c>
      <c r="B740" s="193" t="s">
        <v>78</v>
      </c>
      <c r="C740" s="194"/>
      <c r="D740" s="194"/>
      <c r="E740" s="194"/>
      <c r="F740" s="195"/>
    </row>
    <row r="741" spans="1:6" ht="14.4" thickBot="1" x14ac:dyDescent="0.3">
      <c r="A741" s="207"/>
      <c r="B741" s="208"/>
      <c r="C741" s="209"/>
      <c r="D741" s="210"/>
      <c r="E741" s="211"/>
      <c r="F741" s="212"/>
    </row>
    <row r="742" spans="1:6" ht="14.4" thickBot="1" x14ac:dyDescent="0.3">
      <c r="A742" s="186"/>
      <c r="B742" s="187"/>
      <c r="C742" s="188"/>
      <c r="D742" s="189" t="s">
        <v>12</v>
      </c>
      <c r="E742" s="190"/>
      <c r="F742" s="191">
        <f>SUM(F741)</f>
        <v>0</v>
      </c>
    </row>
    <row r="743" spans="1:6" x14ac:dyDescent="0.25">
      <c r="A743" s="192" t="s">
        <v>13</v>
      </c>
      <c r="B743" s="193" t="s">
        <v>14</v>
      </c>
      <c r="C743" s="213"/>
      <c r="D743" s="213"/>
      <c r="E743" s="214"/>
      <c r="F743" s="215">
        <f>+F735+F739+F742</f>
        <v>321705</v>
      </c>
    </row>
    <row r="744" spans="1:6" x14ac:dyDescent="0.25">
      <c r="A744" s="169" t="s">
        <v>15</v>
      </c>
      <c r="B744" s="170" t="s">
        <v>51</v>
      </c>
      <c r="C744" s="216"/>
      <c r="D744" s="216"/>
      <c r="E744" s="217"/>
      <c r="F744" s="218">
        <f>F743*15%</f>
        <v>48255.75</v>
      </c>
    </row>
    <row r="745" spans="1:6" ht="14.4" thickBot="1" x14ac:dyDescent="0.3">
      <c r="A745" s="219" t="s">
        <v>16</v>
      </c>
      <c r="B745" s="220" t="s">
        <v>17</v>
      </c>
      <c r="C745" s="221"/>
      <c r="D745" s="221"/>
      <c r="E745" s="222"/>
      <c r="F745" s="223">
        <f>SUM(F743:F744)</f>
        <v>369960.75</v>
      </c>
    </row>
    <row r="746" spans="1:6" x14ac:dyDescent="0.25">
      <c r="A746" s="665"/>
      <c r="B746" s="665"/>
      <c r="C746" s="665"/>
      <c r="D746" s="665"/>
      <c r="E746" s="665"/>
      <c r="F746" s="665"/>
    </row>
    <row r="747" spans="1:6" ht="14.4" thickBot="1" x14ac:dyDescent="0.3">
      <c r="A747" s="160" t="s">
        <v>621</v>
      </c>
      <c r="B747" s="161" t="s">
        <v>626</v>
      </c>
      <c r="C747" s="162"/>
      <c r="D747" s="162"/>
      <c r="E747" s="162"/>
      <c r="F747" s="162"/>
    </row>
    <row r="748" spans="1:6" ht="28.2" thickBot="1" x14ac:dyDescent="0.3">
      <c r="A748" s="163" t="s">
        <v>2</v>
      </c>
      <c r="B748" s="164" t="s">
        <v>3</v>
      </c>
      <c r="C748" s="164" t="s">
        <v>0</v>
      </c>
      <c r="D748" s="164" t="s">
        <v>4</v>
      </c>
      <c r="E748" s="164" t="s">
        <v>5</v>
      </c>
      <c r="F748" s="165" t="s">
        <v>6</v>
      </c>
    </row>
    <row r="749" spans="1:6" x14ac:dyDescent="0.25">
      <c r="A749" s="166">
        <v>1</v>
      </c>
      <c r="B749" s="167">
        <v>2</v>
      </c>
      <c r="C749" s="167">
        <v>3</v>
      </c>
      <c r="D749" s="167">
        <v>4</v>
      </c>
      <c r="E749" s="167">
        <v>5</v>
      </c>
      <c r="F749" s="168">
        <v>6</v>
      </c>
    </row>
    <row r="750" spans="1:6" x14ac:dyDescent="0.25">
      <c r="A750" s="169" t="s">
        <v>1</v>
      </c>
      <c r="B750" s="170" t="s">
        <v>76</v>
      </c>
      <c r="C750" s="171"/>
      <c r="D750" s="171"/>
      <c r="E750" s="171"/>
      <c r="F750" s="172"/>
    </row>
    <row r="751" spans="1:6" x14ac:dyDescent="0.25">
      <c r="A751" s="173"/>
      <c r="B751" s="174" t="s">
        <v>40</v>
      </c>
      <c r="C751" s="175" t="s">
        <v>7</v>
      </c>
      <c r="D751" s="176">
        <v>0.01</v>
      </c>
      <c r="E751" s="177">
        <f>'HARGA BAHAN'!E4</f>
        <v>125000</v>
      </c>
      <c r="F751" s="178">
        <f>+D751*E751</f>
        <v>1250</v>
      </c>
    </row>
    <row r="752" spans="1:6" x14ac:dyDescent="0.25">
      <c r="A752" s="173"/>
      <c r="B752" s="179" t="s">
        <v>41</v>
      </c>
      <c r="C752" s="180" t="s">
        <v>7</v>
      </c>
      <c r="D752" s="181">
        <v>0.45</v>
      </c>
      <c r="E752" s="177">
        <f>'HARGA BAHAN'!E5</f>
        <v>160000</v>
      </c>
      <c r="F752" s="178">
        <f>+D752*E752</f>
        <v>72000</v>
      </c>
    </row>
    <row r="753" spans="1:6" x14ac:dyDescent="0.25">
      <c r="A753" s="173"/>
      <c r="B753" s="174" t="s">
        <v>87</v>
      </c>
      <c r="C753" s="175" t="s">
        <v>7</v>
      </c>
      <c r="D753" s="176">
        <v>4.4999999999999998E-2</v>
      </c>
      <c r="E753" s="177">
        <f>'HARGA BAHAN'!E6</f>
        <v>180000</v>
      </c>
      <c r="F753" s="178">
        <f>+D753*E753</f>
        <v>8100</v>
      </c>
    </row>
    <row r="754" spans="1:6" ht="14.4" thickBot="1" x14ac:dyDescent="0.3">
      <c r="A754" s="182"/>
      <c r="B754" s="183" t="s">
        <v>42</v>
      </c>
      <c r="C754" s="184" t="s">
        <v>7</v>
      </c>
      <c r="D754" s="185">
        <v>5.0000000000000001E-3</v>
      </c>
      <c r="E754" s="177">
        <f>'HARGA BAHAN'!E7</f>
        <v>175000</v>
      </c>
      <c r="F754" s="178">
        <f>+D754*E754</f>
        <v>875</v>
      </c>
    </row>
    <row r="755" spans="1:6" ht="14.4" thickBot="1" x14ac:dyDescent="0.3">
      <c r="A755" s="186"/>
      <c r="B755" s="187"/>
      <c r="C755" s="188"/>
      <c r="D755" s="189" t="s">
        <v>8</v>
      </c>
      <c r="E755" s="190"/>
      <c r="F755" s="191">
        <f>SUM(F751:F754)</f>
        <v>82225</v>
      </c>
    </row>
    <row r="756" spans="1:6" x14ac:dyDescent="0.25">
      <c r="A756" s="192" t="s">
        <v>9</v>
      </c>
      <c r="B756" s="193" t="s">
        <v>77</v>
      </c>
      <c r="C756" s="194"/>
      <c r="D756" s="194"/>
      <c r="E756" s="194"/>
      <c r="F756" s="195"/>
    </row>
    <row r="757" spans="1:6" x14ac:dyDescent="0.25">
      <c r="A757" s="196"/>
      <c r="B757" s="197" t="s">
        <v>622</v>
      </c>
      <c r="C757" s="198" t="s">
        <v>159</v>
      </c>
      <c r="D757" s="199">
        <v>1</v>
      </c>
      <c r="E757" s="200">
        <f>'HARGA BAHAN'!E110</f>
        <v>67500</v>
      </c>
      <c r="F757" s="201">
        <f>+D757*E757</f>
        <v>67500</v>
      </c>
    </row>
    <row r="758" spans="1:6" ht="14.4" thickBot="1" x14ac:dyDescent="0.3">
      <c r="A758" s="202"/>
      <c r="B758" s="179" t="s">
        <v>310</v>
      </c>
      <c r="C758" s="180" t="s">
        <v>20</v>
      </c>
      <c r="D758" s="203">
        <v>0.05</v>
      </c>
      <c r="E758" s="204">
        <f>'HARGA BAHAN'!E114</f>
        <v>7600</v>
      </c>
      <c r="F758" s="178">
        <f>+D758*E758</f>
        <v>380</v>
      </c>
    </row>
    <row r="759" spans="1:6" ht="14.4" thickBot="1" x14ac:dyDescent="0.3">
      <c r="A759" s="186"/>
      <c r="B759" s="205"/>
      <c r="C759" s="205"/>
      <c r="D759" s="206" t="s">
        <v>10</v>
      </c>
      <c r="E759" s="205"/>
      <c r="F759" s="191">
        <f>SUM(F757:F758)</f>
        <v>67880</v>
      </c>
    </row>
    <row r="760" spans="1:6" x14ac:dyDescent="0.25">
      <c r="A760" s="192" t="s">
        <v>11</v>
      </c>
      <c r="B760" s="193" t="s">
        <v>78</v>
      </c>
      <c r="C760" s="194"/>
      <c r="D760" s="194"/>
      <c r="E760" s="194"/>
      <c r="F760" s="195"/>
    </row>
    <row r="761" spans="1:6" ht="14.4" thickBot="1" x14ac:dyDescent="0.3">
      <c r="A761" s="207"/>
      <c r="B761" s="208"/>
      <c r="C761" s="209"/>
      <c r="D761" s="210"/>
      <c r="E761" s="211"/>
      <c r="F761" s="212"/>
    </row>
    <row r="762" spans="1:6" ht="14.4" thickBot="1" x14ac:dyDescent="0.3">
      <c r="A762" s="186"/>
      <c r="B762" s="187"/>
      <c r="C762" s="188"/>
      <c r="D762" s="189" t="s">
        <v>12</v>
      </c>
      <c r="E762" s="190"/>
      <c r="F762" s="191">
        <f>SUM(F761)</f>
        <v>0</v>
      </c>
    </row>
    <row r="763" spans="1:6" x14ac:dyDescent="0.25">
      <c r="A763" s="192" t="s">
        <v>13</v>
      </c>
      <c r="B763" s="193" t="s">
        <v>14</v>
      </c>
      <c r="C763" s="213"/>
      <c r="D763" s="213"/>
      <c r="E763" s="214"/>
      <c r="F763" s="215">
        <f>+F755+F759+F762</f>
        <v>150105</v>
      </c>
    </row>
    <row r="764" spans="1:6" x14ac:dyDescent="0.25">
      <c r="A764" s="169" t="s">
        <v>15</v>
      </c>
      <c r="B764" s="170" t="s">
        <v>51</v>
      </c>
      <c r="C764" s="216"/>
      <c r="D764" s="216"/>
      <c r="E764" s="217"/>
      <c r="F764" s="218">
        <f>F763*15%</f>
        <v>22515.75</v>
      </c>
    </row>
    <row r="765" spans="1:6" ht="14.4" thickBot="1" x14ac:dyDescent="0.3">
      <c r="A765" s="219" t="s">
        <v>16</v>
      </c>
      <c r="B765" s="220" t="s">
        <v>17</v>
      </c>
      <c r="C765" s="221"/>
      <c r="D765" s="221"/>
      <c r="E765" s="222"/>
      <c r="F765" s="223">
        <f>SUM(F763:F764)</f>
        <v>172620.75</v>
      </c>
    </row>
    <row r="766" spans="1:6" x14ac:dyDescent="0.25">
      <c r="A766" s="665"/>
      <c r="B766" s="665"/>
      <c r="C766" s="665"/>
      <c r="D766" s="665"/>
      <c r="E766" s="665"/>
      <c r="F766" s="665"/>
    </row>
    <row r="767" spans="1:6" ht="14.4" thickBot="1" x14ac:dyDescent="0.3">
      <c r="A767" s="160" t="s">
        <v>624</v>
      </c>
      <c r="B767" s="161" t="s">
        <v>627</v>
      </c>
      <c r="C767" s="162"/>
      <c r="D767" s="162"/>
      <c r="E767" s="162"/>
      <c r="F767" s="162"/>
    </row>
    <row r="768" spans="1:6" ht="28.2" thickBot="1" x14ac:dyDescent="0.3">
      <c r="A768" s="163" t="s">
        <v>2</v>
      </c>
      <c r="B768" s="164" t="s">
        <v>3</v>
      </c>
      <c r="C768" s="164" t="s">
        <v>0</v>
      </c>
      <c r="D768" s="164" t="s">
        <v>4</v>
      </c>
      <c r="E768" s="164" t="s">
        <v>5</v>
      </c>
      <c r="F768" s="165" t="s">
        <v>6</v>
      </c>
    </row>
    <row r="769" spans="1:6" x14ac:dyDescent="0.25">
      <c r="A769" s="166">
        <v>1</v>
      </c>
      <c r="B769" s="167">
        <v>2</v>
      </c>
      <c r="C769" s="167">
        <v>3</v>
      </c>
      <c r="D769" s="167">
        <v>4</v>
      </c>
      <c r="E769" s="167">
        <v>5</v>
      </c>
      <c r="F769" s="168">
        <v>6</v>
      </c>
    </row>
    <row r="770" spans="1:6" x14ac:dyDescent="0.25">
      <c r="A770" s="169" t="s">
        <v>1</v>
      </c>
      <c r="B770" s="170" t="s">
        <v>76</v>
      </c>
      <c r="C770" s="171"/>
      <c r="D770" s="171"/>
      <c r="E770" s="171"/>
      <c r="F770" s="172"/>
    </row>
    <row r="771" spans="1:6" x14ac:dyDescent="0.25">
      <c r="A771" s="173"/>
      <c r="B771" s="174" t="s">
        <v>40</v>
      </c>
      <c r="C771" s="175" t="s">
        <v>7</v>
      </c>
      <c r="D771" s="176">
        <v>0.01</v>
      </c>
      <c r="E771" s="177">
        <f>'HARGA BAHAN'!E4</f>
        <v>125000</v>
      </c>
      <c r="F771" s="178">
        <f>+D771*E771</f>
        <v>1250</v>
      </c>
    </row>
    <row r="772" spans="1:6" x14ac:dyDescent="0.25">
      <c r="A772" s="173"/>
      <c r="B772" s="179" t="s">
        <v>41</v>
      </c>
      <c r="C772" s="180" t="s">
        <v>7</v>
      </c>
      <c r="D772" s="181">
        <v>0.5</v>
      </c>
      <c r="E772" s="177">
        <f>'HARGA BAHAN'!E5</f>
        <v>160000</v>
      </c>
      <c r="F772" s="178">
        <f>+D772*E772</f>
        <v>80000</v>
      </c>
    </row>
    <row r="773" spans="1:6" x14ac:dyDescent="0.25">
      <c r="A773" s="173"/>
      <c r="B773" s="174" t="s">
        <v>87</v>
      </c>
      <c r="C773" s="175" t="s">
        <v>7</v>
      </c>
      <c r="D773" s="176">
        <v>0.05</v>
      </c>
      <c r="E773" s="177">
        <f>'HARGA BAHAN'!E6</f>
        <v>180000</v>
      </c>
      <c r="F773" s="178">
        <f>+D773*E773</f>
        <v>9000</v>
      </c>
    </row>
    <row r="774" spans="1:6" ht="14.4" thickBot="1" x14ac:dyDescent="0.3">
      <c r="A774" s="182"/>
      <c r="B774" s="183" t="s">
        <v>42</v>
      </c>
      <c r="C774" s="184" t="s">
        <v>7</v>
      </c>
      <c r="D774" s="185">
        <v>6.0000000000000001E-3</v>
      </c>
      <c r="E774" s="177">
        <f>'HARGA BAHAN'!E7</f>
        <v>175000</v>
      </c>
      <c r="F774" s="178">
        <f>+D774*E774</f>
        <v>1050</v>
      </c>
    </row>
    <row r="775" spans="1:6" ht="14.4" thickBot="1" x14ac:dyDescent="0.3">
      <c r="A775" s="186"/>
      <c r="B775" s="187"/>
      <c r="C775" s="188"/>
      <c r="D775" s="189" t="s">
        <v>8</v>
      </c>
      <c r="E775" s="190"/>
      <c r="F775" s="191">
        <f>SUM(F771:F774)</f>
        <v>91300</v>
      </c>
    </row>
    <row r="776" spans="1:6" x14ac:dyDescent="0.25">
      <c r="A776" s="192" t="s">
        <v>9</v>
      </c>
      <c r="B776" s="193" t="s">
        <v>77</v>
      </c>
      <c r="C776" s="194"/>
      <c r="D776" s="194"/>
      <c r="E776" s="194"/>
      <c r="F776" s="195"/>
    </row>
    <row r="777" spans="1:6" x14ac:dyDescent="0.25">
      <c r="A777" s="196"/>
      <c r="B777" s="197" t="s">
        <v>625</v>
      </c>
      <c r="C777" s="198" t="s">
        <v>159</v>
      </c>
      <c r="D777" s="199">
        <v>1</v>
      </c>
      <c r="E777" s="200">
        <f>'HARGA BAHAN'!E112</f>
        <v>8908900</v>
      </c>
      <c r="F777" s="201">
        <f>+D777*E777</f>
        <v>8908900</v>
      </c>
    </row>
    <row r="778" spans="1:6" ht="14.4" thickBot="1" x14ac:dyDescent="0.3">
      <c r="A778" s="202"/>
      <c r="B778" s="179" t="s">
        <v>310</v>
      </c>
      <c r="C778" s="180" t="s">
        <v>20</v>
      </c>
      <c r="D778" s="203">
        <v>0.1</v>
      </c>
      <c r="E778" s="204">
        <f>'HARGA BAHAN'!E114</f>
        <v>7600</v>
      </c>
      <c r="F778" s="178">
        <f>+D778*E778</f>
        <v>760</v>
      </c>
    </row>
    <row r="779" spans="1:6" ht="14.4" thickBot="1" x14ac:dyDescent="0.3">
      <c r="A779" s="186"/>
      <c r="B779" s="205"/>
      <c r="C779" s="205"/>
      <c r="D779" s="206" t="s">
        <v>10</v>
      </c>
      <c r="E779" s="205"/>
      <c r="F779" s="191">
        <f>SUM(F777:F778)</f>
        <v>8909660</v>
      </c>
    </row>
    <row r="780" spans="1:6" x14ac:dyDescent="0.25">
      <c r="A780" s="192" t="s">
        <v>11</v>
      </c>
      <c r="B780" s="193" t="s">
        <v>78</v>
      </c>
      <c r="C780" s="194"/>
      <c r="D780" s="194"/>
      <c r="E780" s="194"/>
      <c r="F780" s="195"/>
    </row>
    <row r="781" spans="1:6" ht="14.4" thickBot="1" x14ac:dyDescent="0.3">
      <c r="A781" s="207"/>
      <c r="B781" s="208"/>
      <c r="C781" s="209"/>
      <c r="D781" s="210"/>
      <c r="E781" s="211"/>
      <c r="F781" s="212"/>
    </row>
    <row r="782" spans="1:6" ht="14.4" thickBot="1" x14ac:dyDescent="0.3">
      <c r="A782" s="186"/>
      <c r="B782" s="187"/>
      <c r="C782" s="188"/>
      <c r="D782" s="189" t="s">
        <v>12</v>
      </c>
      <c r="E782" s="190"/>
      <c r="F782" s="191">
        <f>SUM(F781)</f>
        <v>0</v>
      </c>
    </row>
    <row r="783" spans="1:6" x14ac:dyDescent="0.25">
      <c r="A783" s="192" t="s">
        <v>13</v>
      </c>
      <c r="B783" s="193" t="s">
        <v>14</v>
      </c>
      <c r="C783" s="213"/>
      <c r="D783" s="213"/>
      <c r="E783" s="214"/>
      <c r="F783" s="215">
        <f>+F775+F779+F782</f>
        <v>9000960</v>
      </c>
    </row>
    <row r="784" spans="1:6" x14ac:dyDescent="0.25">
      <c r="A784" s="169" t="s">
        <v>15</v>
      </c>
      <c r="B784" s="170" t="s">
        <v>51</v>
      </c>
      <c r="C784" s="216"/>
      <c r="D784" s="216"/>
      <c r="E784" s="217"/>
      <c r="F784" s="218">
        <f>F783*15%</f>
        <v>1350144</v>
      </c>
    </row>
    <row r="785" spans="1:6" ht="14.4" thickBot="1" x14ac:dyDescent="0.3">
      <c r="A785" s="219" t="s">
        <v>16</v>
      </c>
      <c r="B785" s="220" t="s">
        <v>17</v>
      </c>
      <c r="C785" s="221"/>
      <c r="D785" s="221"/>
      <c r="E785" s="222"/>
      <c r="F785" s="223">
        <f>SUM(F783:F784)</f>
        <v>10351104</v>
      </c>
    </row>
    <row r="787" spans="1:6" ht="14.4" thickBot="1" x14ac:dyDescent="0.3">
      <c r="A787" s="160" t="s">
        <v>667</v>
      </c>
      <c r="B787" s="161" t="s">
        <v>668</v>
      </c>
      <c r="C787" s="162"/>
      <c r="D787" s="162"/>
      <c r="E787" s="162"/>
      <c r="F787" s="162"/>
    </row>
    <row r="788" spans="1:6" ht="28.2" thickBot="1" x14ac:dyDescent="0.3">
      <c r="A788" s="163" t="s">
        <v>2</v>
      </c>
      <c r="B788" s="164" t="s">
        <v>3</v>
      </c>
      <c r="C788" s="164" t="s">
        <v>0</v>
      </c>
      <c r="D788" s="164" t="s">
        <v>4</v>
      </c>
      <c r="E788" s="164" t="s">
        <v>5</v>
      </c>
      <c r="F788" s="165" t="s">
        <v>6</v>
      </c>
    </row>
    <row r="789" spans="1:6" x14ac:dyDescent="0.25">
      <c r="A789" s="166">
        <v>1</v>
      </c>
      <c r="B789" s="167">
        <v>2</v>
      </c>
      <c r="C789" s="167">
        <v>3</v>
      </c>
      <c r="D789" s="167">
        <v>4</v>
      </c>
      <c r="E789" s="167">
        <v>5</v>
      </c>
      <c r="F789" s="168">
        <v>6</v>
      </c>
    </row>
    <row r="790" spans="1:6" x14ac:dyDescent="0.25">
      <c r="A790" s="169" t="s">
        <v>1</v>
      </c>
      <c r="B790" s="170" t="s">
        <v>150</v>
      </c>
      <c r="C790" s="171"/>
      <c r="D790" s="171"/>
      <c r="E790" s="171"/>
      <c r="F790" s="172"/>
    </row>
    <row r="791" spans="1:6" x14ac:dyDescent="0.25">
      <c r="A791" s="173"/>
      <c r="B791" s="174" t="s">
        <v>151</v>
      </c>
      <c r="C791" s="175" t="s">
        <v>7</v>
      </c>
      <c r="D791" s="568">
        <v>5.3999999999999999E-2</v>
      </c>
      <c r="E791" s="177">
        <f>'HARGA BAHAN'!E4</f>
        <v>125000</v>
      </c>
      <c r="F791" s="178">
        <f t="shared" ref="F791" si="9">+D791*E791</f>
        <v>6750</v>
      </c>
    </row>
    <row r="792" spans="1:6" x14ac:dyDescent="0.25">
      <c r="A792" s="173"/>
      <c r="B792" s="179" t="s">
        <v>199</v>
      </c>
      <c r="C792" s="180" t="s">
        <v>7</v>
      </c>
      <c r="D792" s="569">
        <v>0.09</v>
      </c>
      <c r="E792" s="177">
        <f>'HARGA BAHAN'!E5</f>
        <v>160000</v>
      </c>
      <c r="F792" s="423">
        <f>+D792*E792</f>
        <v>14400</v>
      </c>
    </row>
    <row r="793" spans="1:6" x14ac:dyDescent="0.25">
      <c r="A793" s="173"/>
      <c r="B793" s="174" t="s">
        <v>153</v>
      </c>
      <c r="C793" s="175" t="s">
        <v>7</v>
      </c>
      <c r="D793" s="569">
        <v>8.9999999999999993E-3</v>
      </c>
      <c r="E793" s="177">
        <f>'HARGA BAHAN'!E6</f>
        <v>180000</v>
      </c>
      <c r="F793" s="178">
        <f t="shared" ref="F793:F794" si="10">+D793*E793</f>
        <v>1619.9999999999998</v>
      </c>
    </row>
    <row r="794" spans="1:6" ht="14.4" thickBot="1" x14ac:dyDescent="0.3">
      <c r="A794" s="182"/>
      <c r="B794" s="183" t="s">
        <v>154</v>
      </c>
      <c r="C794" s="184" t="s">
        <v>7</v>
      </c>
      <c r="D794" s="570">
        <v>2.7E-2</v>
      </c>
      <c r="E794" s="177">
        <f>'HARGA BAHAN'!E7</f>
        <v>175000</v>
      </c>
      <c r="F794" s="424">
        <f t="shared" si="10"/>
        <v>4725</v>
      </c>
    </row>
    <row r="795" spans="1:6" ht="14.4" thickBot="1" x14ac:dyDescent="0.3">
      <c r="A795" s="186"/>
      <c r="B795" s="187"/>
      <c r="C795" s="188"/>
      <c r="D795" s="189" t="s">
        <v>8</v>
      </c>
      <c r="E795" s="190"/>
      <c r="F795" s="191">
        <f>SUM(F791:F794)</f>
        <v>27495</v>
      </c>
    </row>
    <row r="796" spans="1:6" x14ac:dyDescent="0.25">
      <c r="A796" s="192" t="s">
        <v>9</v>
      </c>
      <c r="B796" s="193" t="s">
        <v>155</v>
      </c>
      <c r="C796" s="194"/>
      <c r="D796" s="194"/>
      <c r="E796" s="194"/>
      <c r="F796" s="195"/>
    </row>
    <row r="797" spans="1:6" x14ac:dyDescent="0.25">
      <c r="A797" s="196"/>
      <c r="B797" s="197" t="s">
        <v>669</v>
      </c>
      <c r="C797" s="198" t="s">
        <v>200</v>
      </c>
      <c r="D797" s="388">
        <v>1.05</v>
      </c>
      <c r="E797" s="200">
        <f>'HARGA BAHAN'!E102</f>
        <v>30170</v>
      </c>
      <c r="F797" s="201">
        <f t="shared" ref="F797" si="11">+D797*E797</f>
        <v>31678.5</v>
      </c>
    </row>
    <row r="798" spans="1:6" ht="14.4" thickBot="1" x14ac:dyDescent="0.3">
      <c r="A798" s="173"/>
      <c r="B798" s="174" t="s">
        <v>201</v>
      </c>
      <c r="C798" s="175" t="s">
        <v>202</v>
      </c>
      <c r="D798" s="176">
        <v>36</v>
      </c>
      <c r="E798" s="177">
        <f>F797</f>
        <v>31678.5</v>
      </c>
      <c r="F798" s="178">
        <f>E798*D798/100</f>
        <v>11404.26</v>
      </c>
    </row>
    <row r="799" spans="1:6" ht="14.4" thickBot="1" x14ac:dyDescent="0.3">
      <c r="A799" s="186"/>
      <c r="B799" s="205"/>
      <c r="C799" s="205"/>
      <c r="D799" s="206" t="s">
        <v>10</v>
      </c>
      <c r="E799" s="205"/>
      <c r="F799" s="191">
        <f>SUM(F797:F798)</f>
        <v>43082.76</v>
      </c>
    </row>
    <row r="800" spans="1:6" ht="14.4" thickBot="1" x14ac:dyDescent="0.3">
      <c r="A800" s="192" t="s">
        <v>11</v>
      </c>
      <c r="B800" s="193" t="s">
        <v>160</v>
      </c>
      <c r="C800" s="194"/>
      <c r="D800" s="194"/>
      <c r="E800" s="194"/>
      <c r="F800" s="195"/>
    </row>
    <row r="801" spans="1:6" ht="14.4" thickBot="1" x14ac:dyDescent="0.3">
      <c r="A801" s="186"/>
      <c r="B801" s="187"/>
      <c r="C801" s="188"/>
      <c r="D801" s="189" t="s">
        <v>12</v>
      </c>
      <c r="E801" s="190"/>
      <c r="F801" s="191">
        <v>0</v>
      </c>
    </row>
    <row r="802" spans="1:6" x14ac:dyDescent="0.25">
      <c r="A802" s="192" t="s">
        <v>13</v>
      </c>
      <c r="B802" s="193" t="s">
        <v>14</v>
      </c>
      <c r="C802" s="213"/>
      <c r="D802" s="213"/>
      <c r="E802" s="214"/>
      <c r="F802" s="215">
        <f>+F795+F799+F801</f>
        <v>70577.760000000009</v>
      </c>
    </row>
    <row r="803" spans="1:6" x14ac:dyDescent="0.25">
      <c r="A803" s="169" t="s">
        <v>15</v>
      </c>
      <c r="B803" s="170" t="s">
        <v>51</v>
      </c>
      <c r="C803" s="216"/>
      <c r="D803" s="216"/>
      <c r="E803" s="217"/>
      <c r="F803" s="218">
        <f>F802*0.15</f>
        <v>10586.664000000001</v>
      </c>
    </row>
    <row r="804" spans="1:6" ht="14.4" thickBot="1" x14ac:dyDescent="0.3">
      <c r="A804" s="219" t="s">
        <v>16</v>
      </c>
      <c r="B804" s="220" t="s">
        <v>17</v>
      </c>
      <c r="C804" s="221"/>
      <c r="D804" s="221"/>
      <c r="E804" s="222"/>
      <c r="F804" s="223">
        <f>SUM(F802:F803)</f>
        <v>81164.424000000014</v>
      </c>
    </row>
    <row r="806" spans="1:6" ht="14.4" thickBot="1" x14ac:dyDescent="0.3">
      <c r="A806" s="160" t="s">
        <v>674</v>
      </c>
      <c r="B806" s="161" t="s">
        <v>675</v>
      </c>
      <c r="C806" s="162"/>
      <c r="D806" s="162"/>
      <c r="E806" s="162"/>
      <c r="F806" s="162"/>
    </row>
    <row r="807" spans="1:6" ht="28.2" thickBot="1" x14ac:dyDescent="0.3">
      <c r="A807" s="163" t="s">
        <v>2</v>
      </c>
      <c r="B807" s="164" t="s">
        <v>3</v>
      </c>
      <c r="C807" s="164" t="s">
        <v>0</v>
      </c>
      <c r="D807" s="164" t="s">
        <v>4</v>
      </c>
      <c r="E807" s="164" t="s">
        <v>5</v>
      </c>
      <c r="F807" s="165" t="s">
        <v>6</v>
      </c>
    </row>
    <row r="808" spans="1:6" x14ac:dyDescent="0.25">
      <c r="A808" s="166">
        <v>1</v>
      </c>
      <c r="B808" s="167">
        <v>2</v>
      </c>
      <c r="C808" s="167">
        <v>3</v>
      </c>
      <c r="D808" s="167">
        <v>4</v>
      </c>
      <c r="E808" s="167">
        <v>5</v>
      </c>
      <c r="F808" s="168">
        <v>6</v>
      </c>
    </row>
    <row r="809" spans="1:6" x14ac:dyDescent="0.25">
      <c r="A809" s="169" t="s">
        <v>1</v>
      </c>
      <c r="B809" s="170" t="s">
        <v>150</v>
      </c>
      <c r="C809" s="171"/>
      <c r="D809" s="171"/>
      <c r="E809" s="171"/>
      <c r="F809" s="172"/>
    </row>
    <row r="810" spans="1:6" x14ac:dyDescent="0.25">
      <c r="A810" s="173"/>
      <c r="B810" s="174" t="s">
        <v>151</v>
      </c>
      <c r="C810" s="175" t="s">
        <v>7</v>
      </c>
      <c r="D810" s="568">
        <v>5.3999999999999999E-2</v>
      </c>
      <c r="E810" s="177">
        <f>'HARGA BAHAN'!E4</f>
        <v>125000</v>
      </c>
      <c r="F810" s="178">
        <f t="shared" ref="F810" si="12">+D810*E810</f>
        <v>6750</v>
      </c>
    </row>
    <row r="811" spans="1:6" x14ac:dyDescent="0.25">
      <c r="A811" s="173"/>
      <c r="B811" s="179" t="s">
        <v>199</v>
      </c>
      <c r="C811" s="180" t="s">
        <v>7</v>
      </c>
      <c r="D811" s="569">
        <v>0.09</v>
      </c>
      <c r="E811" s="177">
        <f>'HARGA BAHAN'!E5</f>
        <v>160000</v>
      </c>
      <c r="F811" s="423">
        <f>+D811*E811</f>
        <v>14400</v>
      </c>
    </row>
    <row r="812" spans="1:6" x14ac:dyDescent="0.25">
      <c r="A812" s="173"/>
      <c r="B812" s="174" t="s">
        <v>153</v>
      </c>
      <c r="C812" s="175" t="s">
        <v>7</v>
      </c>
      <c r="D812" s="569">
        <v>8.9999999999999993E-3</v>
      </c>
      <c r="E812" s="177">
        <f>'HARGA BAHAN'!E6</f>
        <v>180000</v>
      </c>
      <c r="F812" s="178">
        <f t="shared" ref="F812:F813" si="13">+D812*E812</f>
        <v>1619.9999999999998</v>
      </c>
    </row>
    <row r="813" spans="1:6" ht="14.4" thickBot="1" x14ac:dyDescent="0.3">
      <c r="A813" s="182"/>
      <c r="B813" s="183" t="s">
        <v>154</v>
      </c>
      <c r="C813" s="184" t="s">
        <v>7</v>
      </c>
      <c r="D813" s="570">
        <v>2.7E-2</v>
      </c>
      <c r="E813" s="177">
        <f>'HARGA BAHAN'!E7</f>
        <v>175000</v>
      </c>
      <c r="F813" s="424">
        <f t="shared" si="13"/>
        <v>4725</v>
      </c>
    </row>
    <row r="814" spans="1:6" ht="14.4" thickBot="1" x14ac:dyDescent="0.3">
      <c r="A814" s="186"/>
      <c r="B814" s="187"/>
      <c r="C814" s="188"/>
      <c r="D814" s="189" t="s">
        <v>8</v>
      </c>
      <c r="E814" s="190"/>
      <c r="F814" s="191">
        <f>SUM(F810:F813)</f>
        <v>27495</v>
      </c>
    </row>
    <row r="815" spans="1:6" x14ac:dyDescent="0.25">
      <c r="A815" s="192" t="s">
        <v>9</v>
      </c>
      <c r="B815" s="193" t="s">
        <v>155</v>
      </c>
      <c r="C815" s="194"/>
      <c r="D815" s="194"/>
      <c r="E815" s="194"/>
      <c r="F815" s="195"/>
    </row>
    <row r="816" spans="1:6" x14ac:dyDescent="0.25">
      <c r="A816" s="196"/>
      <c r="B816" s="197" t="s">
        <v>676</v>
      </c>
      <c r="C816" s="198" t="s">
        <v>200</v>
      </c>
      <c r="D816" s="388">
        <v>1.05</v>
      </c>
      <c r="E816" s="200">
        <f>'HARGA BAHAN'!E104</f>
        <v>54840</v>
      </c>
      <c r="F816" s="201">
        <f t="shared" ref="F816" si="14">+D816*E816</f>
        <v>57582</v>
      </c>
    </row>
    <row r="817" spans="1:6" ht="14.4" thickBot="1" x14ac:dyDescent="0.3">
      <c r="A817" s="173"/>
      <c r="B817" s="174" t="s">
        <v>201</v>
      </c>
      <c r="C817" s="175" t="s">
        <v>202</v>
      </c>
      <c r="D817" s="176">
        <v>36</v>
      </c>
      <c r="E817" s="177">
        <f>F816</f>
        <v>57582</v>
      </c>
      <c r="F817" s="178">
        <f>E817*D817/100</f>
        <v>20729.52</v>
      </c>
    </row>
    <row r="818" spans="1:6" ht="14.4" thickBot="1" x14ac:dyDescent="0.3">
      <c r="A818" s="186"/>
      <c r="B818" s="205"/>
      <c r="C818" s="205"/>
      <c r="D818" s="206" t="s">
        <v>10</v>
      </c>
      <c r="E818" s="205"/>
      <c r="F818" s="191">
        <f>SUM(F816:F817)</f>
        <v>78311.520000000004</v>
      </c>
    </row>
    <row r="819" spans="1:6" ht="14.4" thickBot="1" x14ac:dyDescent="0.3">
      <c r="A819" s="192" t="s">
        <v>11</v>
      </c>
      <c r="B819" s="193" t="s">
        <v>160</v>
      </c>
      <c r="C819" s="194"/>
      <c r="D819" s="194"/>
      <c r="E819" s="194"/>
      <c r="F819" s="195"/>
    </row>
    <row r="820" spans="1:6" ht="14.4" thickBot="1" x14ac:dyDescent="0.3">
      <c r="A820" s="186"/>
      <c r="B820" s="187"/>
      <c r="C820" s="188"/>
      <c r="D820" s="189" t="s">
        <v>12</v>
      </c>
      <c r="E820" s="190"/>
      <c r="F820" s="191">
        <v>0</v>
      </c>
    </row>
    <row r="821" spans="1:6" x14ac:dyDescent="0.25">
      <c r="A821" s="192" t="s">
        <v>13</v>
      </c>
      <c r="B821" s="193" t="s">
        <v>14</v>
      </c>
      <c r="C821" s="213"/>
      <c r="D821" s="213"/>
      <c r="E821" s="214"/>
      <c r="F821" s="215">
        <f>+F814+F818+F820</f>
        <v>105806.52</v>
      </c>
    </row>
    <row r="822" spans="1:6" x14ac:dyDescent="0.25">
      <c r="A822" s="169" t="s">
        <v>15</v>
      </c>
      <c r="B822" s="170" t="s">
        <v>51</v>
      </c>
      <c r="C822" s="216"/>
      <c r="D822" s="216"/>
      <c r="E822" s="217"/>
      <c r="F822" s="218">
        <f>F821*0.15</f>
        <v>15870.977999999999</v>
      </c>
    </row>
    <row r="823" spans="1:6" ht="14.4" thickBot="1" x14ac:dyDescent="0.3">
      <c r="A823" s="219" t="s">
        <v>16</v>
      </c>
      <c r="B823" s="220" t="s">
        <v>17</v>
      </c>
      <c r="C823" s="221"/>
      <c r="D823" s="221"/>
      <c r="E823" s="222"/>
      <c r="F823" s="223">
        <f>SUM(F821:F822)</f>
        <v>121677.49800000001</v>
      </c>
    </row>
    <row r="825" spans="1:6" ht="14.4" thickBot="1" x14ac:dyDescent="0.3">
      <c r="A825" s="160" t="s">
        <v>470</v>
      </c>
      <c r="B825" s="161" t="s">
        <v>471</v>
      </c>
      <c r="C825" s="162"/>
      <c r="D825" s="162"/>
      <c r="E825" s="162"/>
      <c r="F825" s="162"/>
    </row>
    <row r="826" spans="1:6" ht="28.2" thickBot="1" x14ac:dyDescent="0.3">
      <c r="A826" s="163" t="s">
        <v>2</v>
      </c>
      <c r="B826" s="164" t="s">
        <v>3</v>
      </c>
      <c r="C826" s="164" t="s">
        <v>0</v>
      </c>
      <c r="D826" s="164" t="s">
        <v>4</v>
      </c>
      <c r="E826" s="164" t="s">
        <v>5</v>
      </c>
      <c r="F826" s="165" t="s">
        <v>6</v>
      </c>
    </row>
    <row r="827" spans="1:6" x14ac:dyDescent="0.25">
      <c r="A827" s="166">
        <v>1</v>
      </c>
      <c r="B827" s="167">
        <v>2</v>
      </c>
      <c r="C827" s="167">
        <v>3</v>
      </c>
      <c r="D827" s="167">
        <v>4</v>
      </c>
      <c r="E827" s="167">
        <v>5</v>
      </c>
      <c r="F827" s="168">
        <v>6</v>
      </c>
    </row>
    <row r="828" spans="1:6" x14ac:dyDescent="0.25">
      <c r="A828" s="169" t="s">
        <v>1</v>
      </c>
      <c r="B828" s="170" t="s">
        <v>150</v>
      </c>
      <c r="C828" s="171"/>
      <c r="D828" s="171"/>
      <c r="E828" s="171"/>
      <c r="F828" s="172"/>
    </row>
    <row r="829" spans="1:6" x14ac:dyDescent="0.25">
      <c r="A829" s="173"/>
      <c r="B829" s="174" t="s">
        <v>151</v>
      </c>
      <c r="C829" s="175" t="s">
        <v>7</v>
      </c>
      <c r="D829" s="568">
        <v>3.1E-2</v>
      </c>
      <c r="E829" s="177">
        <f>'HARGA BAHAN'!E4</f>
        <v>125000</v>
      </c>
      <c r="F829" s="178">
        <f t="shared" ref="F829" si="15">+D829*E829</f>
        <v>3875</v>
      </c>
    </row>
    <row r="830" spans="1:6" x14ac:dyDescent="0.25">
      <c r="A830" s="173"/>
      <c r="B830" s="179" t="s">
        <v>199</v>
      </c>
      <c r="C830" s="180" t="s">
        <v>7</v>
      </c>
      <c r="D830" s="569">
        <v>6.2E-2</v>
      </c>
      <c r="E830" s="177">
        <f>'HARGA BAHAN'!E5</f>
        <v>160000</v>
      </c>
      <c r="F830" s="423">
        <f>+D830*E830</f>
        <v>9920</v>
      </c>
    </row>
    <row r="831" spans="1:6" x14ac:dyDescent="0.25">
      <c r="A831" s="173"/>
      <c r="B831" s="174" t="s">
        <v>153</v>
      </c>
      <c r="C831" s="175" t="s">
        <v>7</v>
      </c>
      <c r="D831" s="569">
        <v>6.1999999999999998E-3</v>
      </c>
      <c r="E831" s="177">
        <f>'HARGA BAHAN'!E6</f>
        <v>180000</v>
      </c>
      <c r="F831" s="178">
        <f t="shared" ref="F831:F832" si="16">+D831*E831</f>
        <v>1116</v>
      </c>
    </row>
    <row r="832" spans="1:6" ht="14.4" thickBot="1" x14ac:dyDescent="0.3">
      <c r="A832" s="182"/>
      <c r="B832" s="183" t="s">
        <v>154</v>
      </c>
      <c r="C832" s="184" t="s">
        <v>7</v>
      </c>
      <c r="D832" s="570">
        <v>1E-3</v>
      </c>
      <c r="E832" s="177">
        <f>'HARGA BAHAN'!E7</f>
        <v>175000</v>
      </c>
      <c r="F832" s="424">
        <f t="shared" si="16"/>
        <v>175</v>
      </c>
    </row>
    <row r="833" spans="1:6" ht="14.4" thickBot="1" x14ac:dyDescent="0.3">
      <c r="A833" s="186"/>
      <c r="B833" s="187"/>
      <c r="C833" s="188"/>
      <c r="D833" s="189" t="s">
        <v>8</v>
      </c>
      <c r="E833" s="190"/>
      <c r="F833" s="191">
        <f>SUM(F829:F832)</f>
        <v>15086</v>
      </c>
    </row>
    <row r="834" spans="1:6" x14ac:dyDescent="0.25">
      <c r="A834" s="192" t="s">
        <v>9</v>
      </c>
      <c r="B834" s="193" t="s">
        <v>155</v>
      </c>
      <c r="C834" s="194"/>
      <c r="D834" s="194"/>
      <c r="E834" s="194"/>
      <c r="F834" s="195"/>
    </row>
    <row r="835" spans="1:6" x14ac:dyDescent="0.25">
      <c r="A835" s="196"/>
      <c r="B835" s="197" t="s">
        <v>472</v>
      </c>
      <c r="C835" s="198" t="s">
        <v>200</v>
      </c>
      <c r="D835" s="388">
        <v>1.2</v>
      </c>
      <c r="E835" s="200">
        <f>'HARGA BAHAN'!E105</f>
        <v>7500</v>
      </c>
      <c r="F835" s="201">
        <f t="shared" ref="F835" si="17">+D835*E835</f>
        <v>9000</v>
      </c>
    </row>
    <row r="836" spans="1:6" ht="14.4" thickBot="1" x14ac:dyDescent="0.3">
      <c r="A836" s="173"/>
      <c r="B836" s="174" t="s">
        <v>201</v>
      </c>
      <c r="C836" s="175" t="s">
        <v>202</v>
      </c>
      <c r="D836" s="176">
        <v>35</v>
      </c>
      <c r="E836" s="177">
        <f>F835</f>
        <v>9000</v>
      </c>
      <c r="F836" s="178">
        <f>E836*D836/100</f>
        <v>3150</v>
      </c>
    </row>
    <row r="837" spans="1:6" ht="14.4" thickBot="1" x14ac:dyDescent="0.3">
      <c r="A837" s="186"/>
      <c r="B837" s="205"/>
      <c r="C837" s="205"/>
      <c r="D837" s="206" t="s">
        <v>10</v>
      </c>
      <c r="E837" s="205"/>
      <c r="F837" s="191">
        <f>SUM(F835:F836)</f>
        <v>12150</v>
      </c>
    </row>
    <row r="838" spans="1:6" ht="14.4" thickBot="1" x14ac:dyDescent="0.3">
      <c r="A838" s="192" t="s">
        <v>11</v>
      </c>
      <c r="B838" s="193" t="s">
        <v>160</v>
      </c>
      <c r="C838" s="194"/>
      <c r="D838" s="194"/>
      <c r="E838" s="194"/>
      <c r="F838" s="195"/>
    </row>
    <row r="839" spans="1:6" ht="14.4" thickBot="1" x14ac:dyDescent="0.3">
      <c r="A839" s="186"/>
      <c r="B839" s="187"/>
      <c r="C839" s="188"/>
      <c r="D839" s="189" t="s">
        <v>12</v>
      </c>
      <c r="E839" s="190"/>
      <c r="F839" s="191">
        <v>0</v>
      </c>
    </row>
    <row r="840" spans="1:6" x14ac:dyDescent="0.25">
      <c r="A840" s="192" t="s">
        <v>13</v>
      </c>
      <c r="B840" s="193" t="s">
        <v>14</v>
      </c>
      <c r="C840" s="213"/>
      <c r="D840" s="213"/>
      <c r="E840" s="214"/>
      <c r="F840" s="215">
        <f>+F833+F837+F839</f>
        <v>27236</v>
      </c>
    </row>
    <row r="841" spans="1:6" x14ac:dyDescent="0.25">
      <c r="A841" s="169" t="s">
        <v>15</v>
      </c>
      <c r="B841" s="170" t="s">
        <v>51</v>
      </c>
      <c r="C841" s="216"/>
      <c r="D841" s="216"/>
      <c r="E841" s="217"/>
      <c r="F841" s="218">
        <f>F840*0.15</f>
        <v>4085.3999999999996</v>
      </c>
    </row>
    <row r="842" spans="1:6" ht="14.4" thickBot="1" x14ac:dyDescent="0.3">
      <c r="A842" s="219" t="s">
        <v>16</v>
      </c>
      <c r="B842" s="220" t="s">
        <v>17</v>
      </c>
      <c r="C842" s="221"/>
      <c r="D842" s="221"/>
      <c r="E842" s="222"/>
      <c r="F842" s="223">
        <f>SUM(F840:F841)</f>
        <v>31321.4</v>
      </c>
    </row>
    <row r="844" spans="1:6" ht="14.4" thickBot="1" x14ac:dyDescent="0.3">
      <c r="A844" s="71" t="s">
        <v>198</v>
      </c>
      <c r="B844" s="2" t="s">
        <v>473</v>
      </c>
      <c r="C844" s="3"/>
      <c r="D844" s="3"/>
      <c r="E844" s="3"/>
      <c r="F844" s="3"/>
    </row>
    <row r="845" spans="1:6" ht="28.2" thickBot="1" x14ac:dyDescent="0.3">
      <c r="A845" s="4" t="s">
        <v>2</v>
      </c>
      <c r="B845" s="5" t="s">
        <v>3</v>
      </c>
      <c r="C845" s="5" t="s">
        <v>0</v>
      </c>
      <c r="D845" s="5" t="s">
        <v>4</v>
      </c>
      <c r="E845" s="5" t="s">
        <v>5</v>
      </c>
      <c r="F845" s="6" t="s">
        <v>6</v>
      </c>
    </row>
    <row r="846" spans="1:6" x14ac:dyDescent="0.25">
      <c r="A846" s="7">
        <v>1</v>
      </c>
      <c r="B846" s="8">
        <v>2</v>
      </c>
      <c r="C846" s="8">
        <v>3</v>
      </c>
      <c r="D846" s="8">
        <v>4</v>
      </c>
      <c r="E846" s="8">
        <v>5</v>
      </c>
      <c r="F846" s="9">
        <v>6</v>
      </c>
    </row>
    <row r="847" spans="1:6" x14ac:dyDescent="0.25">
      <c r="A847" s="10" t="s">
        <v>1</v>
      </c>
      <c r="B847" s="11" t="s">
        <v>150</v>
      </c>
      <c r="C847" s="12"/>
      <c r="D847" s="12"/>
      <c r="E847" s="12"/>
      <c r="F847" s="13"/>
    </row>
    <row r="848" spans="1:6" x14ac:dyDescent="0.25">
      <c r="A848" s="14"/>
      <c r="B848" s="15" t="s">
        <v>151</v>
      </c>
      <c r="C848" s="16" t="s">
        <v>7</v>
      </c>
      <c r="D848" s="69">
        <v>8.1000000000000003E-2</v>
      </c>
      <c r="E848" s="18">
        <f>'HARGA BAHAN'!E4</f>
        <v>125000</v>
      </c>
      <c r="F848" s="19">
        <f t="shared" ref="F848" si="18">+D848*E848</f>
        <v>10125</v>
      </c>
    </row>
    <row r="849" spans="1:6" x14ac:dyDescent="0.25">
      <c r="A849" s="14"/>
      <c r="B849" s="20" t="s">
        <v>199</v>
      </c>
      <c r="C849" s="21" t="s">
        <v>7</v>
      </c>
      <c r="D849" s="158">
        <v>0.13500000000000001</v>
      </c>
      <c r="E849" s="18">
        <f>'HARGA BAHAN'!E5</f>
        <v>160000</v>
      </c>
      <c r="F849" s="159">
        <f>+D849*E849</f>
        <v>21600</v>
      </c>
    </row>
    <row r="850" spans="1:6" x14ac:dyDescent="0.25">
      <c r="A850" s="14"/>
      <c r="B850" s="15" t="s">
        <v>153</v>
      </c>
      <c r="C850" s="16" t="s">
        <v>7</v>
      </c>
      <c r="D850" s="158">
        <v>1.35E-2</v>
      </c>
      <c r="E850" s="18">
        <f>'HARGA BAHAN'!E6</f>
        <v>180000</v>
      </c>
      <c r="F850" s="19">
        <f t="shared" ref="F850:F851" si="19">+D850*E850</f>
        <v>2430</v>
      </c>
    </row>
    <row r="851" spans="1:6" ht="14.4" thickBot="1" x14ac:dyDescent="0.3">
      <c r="A851" s="24"/>
      <c r="B851" s="25" t="s">
        <v>154</v>
      </c>
      <c r="C851" s="26" t="s">
        <v>7</v>
      </c>
      <c r="D851" s="70">
        <v>4.0000000000000001E-3</v>
      </c>
      <c r="E851" s="18">
        <f>'HARGA BAHAN'!E7</f>
        <v>175000</v>
      </c>
      <c r="F851" s="157">
        <f t="shared" si="19"/>
        <v>700</v>
      </c>
    </row>
    <row r="852" spans="1:6" ht="14.4" thickBot="1" x14ac:dyDescent="0.3">
      <c r="A852" s="28"/>
      <c r="B852" s="29"/>
      <c r="C852" s="30"/>
      <c r="D852" s="31" t="s">
        <v>8</v>
      </c>
      <c r="E852" s="32"/>
      <c r="F852" s="33">
        <f>SUM(F848:F851)</f>
        <v>34855</v>
      </c>
    </row>
    <row r="853" spans="1:6" x14ac:dyDescent="0.25">
      <c r="A853" s="34" t="s">
        <v>9</v>
      </c>
      <c r="B853" s="35" t="s">
        <v>155</v>
      </c>
      <c r="C853" s="36"/>
      <c r="D853" s="36"/>
      <c r="E853" s="36"/>
      <c r="F853" s="37"/>
    </row>
    <row r="854" spans="1:6" x14ac:dyDescent="0.25">
      <c r="A854" s="38"/>
      <c r="B854" s="39" t="s">
        <v>474</v>
      </c>
      <c r="C854" s="40" t="s">
        <v>200</v>
      </c>
      <c r="D854" s="41">
        <v>1.2</v>
      </c>
      <c r="E854" s="42">
        <f>'HARGA BAHAN'!E106</f>
        <v>62500</v>
      </c>
      <c r="F854" s="43">
        <f t="shared" ref="F854" si="20">+D854*E854</f>
        <v>75000</v>
      </c>
    </row>
    <row r="855" spans="1:6" ht="14.4" thickBot="1" x14ac:dyDescent="0.3">
      <c r="A855" s="14"/>
      <c r="B855" s="15" t="s">
        <v>201</v>
      </c>
      <c r="C855" s="16" t="s">
        <v>202</v>
      </c>
      <c r="D855" s="17">
        <v>35</v>
      </c>
      <c r="E855" s="18">
        <f>E854</f>
        <v>62500</v>
      </c>
      <c r="F855" s="19">
        <f>E855*D855/100</f>
        <v>21875</v>
      </c>
    </row>
    <row r="856" spans="1:6" ht="14.4" thickBot="1" x14ac:dyDescent="0.3">
      <c r="A856" s="28"/>
      <c r="B856" s="44"/>
      <c r="C856" s="44"/>
      <c r="D856" s="45" t="s">
        <v>10</v>
      </c>
      <c r="E856" s="44"/>
      <c r="F856" s="33">
        <f>SUM(F854:F855)</f>
        <v>96875</v>
      </c>
    </row>
    <row r="857" spans="1:6" ht="14.4" thickBot="1" x14ac:dyDescent="0.3">
      <c r="A857" s="34" t="s">
        <v>11</v>
      </c>
      <c r="B857" s="35" t="s">
        <v>160</v>
      </c>
      <c r="C857" s="36"/>
      <c r="D857" s="36"/>
      <c r="E857" s="36"/>
      <c r="F857" s="37"/>
    </row>
    <row r="858" spans="1:6" ht="14.4" thickBot="1" x14ac:dyDescent="0.3">
      <c r="A858" s="28"/>
      <c r="B858" s="29"/>
      <c r="C858" s="30"/>
      <c r="D858" s="31" t="s">
        <v>12</v>
      </c>
      <c r="E858" s="32"/>
      <c r="F858" s="33">
        <v>0</v>
      </c>
    </row>
    <row r="859" spans="1:6" x14ac:dyDescent="0.25">
      <c r="A859" s="34" t="s">
        <v>13</v>
      </c>
      <c r="B859" s="35" t="s">
        <v>14</v>
      </c>
      <c r="C859" s="52"/>
      <c r="D859" s="52"/>
      <c r="E859" s="53"/>
      <c r="F859" s="54">
        <f>+F852+F856+F858</f>
        <v>131730</v>
      </c>
    </row>
    <row r="860" spans="1:6" x14ac:dyDescent="0.25">
      <c r="A860" s="10" t="s">
        <v>15</v>
      </c>
      <c r="B860" s="11" t="s">
        <v>51</v>
      </c>
      <c r="C860" s="55"/>
      <c r="D860" s="55"/>
      <c r="E860" s="56"/>
      <c r="F860" s="57">
        <f>F859*0.15</f>
        <v>19759.5</v>
      </c>
    </row>
    <row r="861" spans="1:6" ht="14.4" thickBot="1" x14ac:dyDescent="0.3">
      <c r="A861" s="58" t="s">
        <v>16</v>
      </c>
      <c r="B861" s="59" t="s">
        <v>17</v>
      </c>
      <c r="C861" s="60"/>
      <c r="D861" s="60"/>
      <c r="E861" s="61"/>
      <c r="F861" s="62">
        <f>SUM(F859:F860)</f>
        <v>151489.5</v>
      </c>
    </row>
    <row r="863" spans="1:6" ht="14.4" thickBot="1" x14ac:dyDescent="0.3">
      <c r="A863" s="71" t="s">
        <v>301</v>
      </c>
      <c r="B863" s="2" t="s">
        <v>302</v>
      </c>
      <c r="C863" s="3"/>
      <c r="D863" s="3"/>
      <c r="E863" s="3"/>
      <c r="F863" s="3"/>
    </row>
    <row r="864" spans="1:6" ht="28.2" thickBot="1" x14ac:dyDescent="0.3">
      <c r="A864" s="4" t="s">
        <v>2</v>
      </c>
      <c r="B864" s="5" t="s">
        <v>3</v>
      </c>
      <c r="C864" s="5" t="s">
        <v>0</v>
      </c>
      <c r="D864" s="5" t="s">
        <v>4</v>
      </c>
      <c r="E864" s="5" t="s">
        <v>5</v>
      </c>
      <c r="F864" s="6" t="s">
        <v>6</v>
      </c>
    </row>
    <row r="865" spans="1:6" x14ac:dyDescent="0.25">
      <c r="A865" s="7">
        <v>1</v>
      </c>
      <c r="B865" s="8">
        <v>2</v>
      </c>
      <c r="C865" s="8">
        <v>3</v>
      </c>
      <c r="D865" s="8">
        <v>4</v>
      </c>
      <c r="E865" s="8">
        <v>5</v>
      </c>
      <c r="F865" s="9">
        <v>6</v>
      </c>
    </row>
    <row r="866" spans="1:6" x14ac:dyDescent="0.25">
      <c r="A866" s="10" t="s">
        <v>1</v>
      </c>
      <c r="B866" s="11" t="s">
        <v>150</v>
      </c>
      <c r="C866" s="12"/>
      <c r="D866" s="12"/>
      <c r="E866" s="12"/>
      <c r="F866" s="13"/>
    </row>
    <row r="867" spans="1:6" x14ac:dyDescent="0.25">
      <c r="A867" s="14"/>
      <c r="B867" s="15" t="s">
        <v>151</v>
      </c>
      <c r="C867" s="16" t="s">
        <v>7</v>
      </c>
      <c r="D867" s="69">
        <v>8.1000000000000003E-2</v>
      </c>
      <c r="E867" s="18">
        <f>'HARGA BAHAN'!E4</f>
        <v>125000</v>
      </c>
      <c r="F867" s="19">
        <f>+D867*E867</f>
        <v>10125</v>
      </c>
    </row>
    <row r="868" spans="1:6" x14ac:dyDescent="0.25">
      <c r="A868" s="14"/>
      <c r="B868" s="20" t="s">
        <v>199</v>
      </c>
      <c r="C868" s="21" t="s">
        <v>7</v>
      </c>
      <c r="D868" s="158">
        <v>0.13500000000000001</v>
      </c>
      <c r="E868" s="18">
        <f>'HARGA BAHAN'!E5</f>
        <v>160000</v>
      </c>
      <c r="F868" s="159">
        <f>+D868*E868</f>
        <v>21600</v>
      </c>
    </row>
    <row r="869" spans="1:6" x14ac:dyDescent="0.25">
      <c r="A869" s="14"/>
      <c r="B869" s="15" t="s">
        <v>153</v>
      </c>
      <c r="C869" s="16" t="s">
        <v>7</v>
      </c>
      <c r="D869" s="158">
        <v>1.35E-2</v>
      </c>
      <c r="E869" s="18">
        <f>'HARGA BAHAN'!E6</f>
        <v>180000</v>
      </c>
      <c r="F869" s="19">
        <f>+D869*E869</f>
        <v>2430</v>
      </c>
    </row>
    <row r="870" spans="1:6" ht="14.4" thickBot="1" x14ac:dyDescent="0.3">
      <c r="A870" s="24"/>
      <c r="B870" s="25" t="s">
        <v>154</v>
      </c>
      <c r="C870" s="26" t="s">
        <v>7</v>
      </c>
      <c r="D870" s="70">
        <v>4.0000000000000001E-3</v>
      </c>
      <c r="E870" s="18">
        <f>'HARGA BAHAN'!E7</f>
        <v>175000</v>
      </c>
      <c r="F870" s="157">
        <f>+D870*E870</f>
        <v>700</v>
      </c>
    </row>
    <row r="871" spans="1:6" ht="14.4" thickBot="1" x14ac:dyDescent="0.3">
      <c r="A871" s="28"/>
      <c r="B871" s="29"/>
      <c r="C871" s="30"/>
      <c r="D871" s="31" t="s">
        <v>8</v>
      </c>
      <c r="E871" s="32"/>
      <c r="F871" s="33">
        <f>SUM(F867:F870)</f>
        <v>34855</v>
      </c>
    </row>
    <row r="872" spans="1:6" x14ac:dyDescent="0.25">
      <c r="A872" s="34" t="s">
        <v>9</v>
      </c>
      <c r="B872" s="35" t="s">
        <v>155</v>
      </c>
      <c r="C872" s="36"/>
      <c r="D872" s="36"/>
      <c r="E872" s="36"/>
      <c r="F872" s="37"/>
    </row>
    <row r="873" spans="1:6" x14ac:dyDescent="0.25">
      <c r="A873" s="38"/>
      <c r="B873" s="39" t="s">
        <v>303</v>
      </c>
      <c r="C873" s="40" t="s">
        <v>200</v>
      </c>
      <c r="D873" s="41">
        <v>1.2</v>
      </c>
      <c r="E873" s="42">
        <f>'HARGA BAHAN'!E107</f>
        <v>125000</v>
      </c>
      <c r="F873" s="43">
        <f>+D873*E873</f>
        <v>150000</v>
      </c>
    </row>
    <row r="874" spans="1:6" ht="14.4" thickBot="1" x14ac:dyDescent="0.3">
      <c r="A874" s="14"/>
      <c r="B874" s="15" t="s">
        <v>201</v>
      </c>
      <c r="C874" s="16" t="s">
        <v>202</v>
      </c>
      <c r="D874" s="17">
        <v>35</v>
      </c>
      <c r="E874" s="18">
        <f>F873</f>
        <v>150000</v>
      </c>
      <c r="F874" s="19">
        <f>E874*D874/100</f>
        <v>52500</v>
      </c>
    </row>
    <row r="875" spans="1:6" ht="14.4" thickBot="1" x14ac:dyDescent="0.3">
      <c r="A875" s="28"/>
      <c r="B875" s="44"/>
      <c r="C875" s="44"/>
      <c r="D875" s="45" t="s">
        <v>10</v>
      </c>
      <c r="E875" s="44"/>
      <c r="F875" s="33">
        <f>SUM(F873:F874)</f>
        <v>202500</v>
      </c>
    </row>
    <row r="876" spans="1:6" ht="14.4" thickBot="1" x14ac:dyDescent="0.3">
      <c r="A876" s="34" t="s">
        <v>11</v>
      </c>
      <c r="B876" s="35" t="s">
        <v>160</v>
      </c>
      <c r="C876" s="36"/>
      <c r="D876" s="36"/>
      <c r="E876" s="36"/>
      <c r="F876" s="37"/>
    </row>
    <row r="877" spans="1:6" ht="14.4" thickBot="1" x14ac:dyDescent="0.3">
      <c r="A877" s="28"/>
      <c r="B877" s="29"/>
      <c r="C877" s="30"/>
      <c r="D877" s="31" t="s">
        <v>12</v>
      </c>
      <c r="E877" s="32"/>
      <c r="F877" s="33">
        <v>0</v>
      </c>
    </row>
    <row r="878" spans="1:6" x14ac:dyDescent="0.25">
      <c r="A878" s="34" t="s">
        <v>13</v>
      </c>
      <c r="B878" s="35" t="s">
        <v>14</v>
      </c>
      <c r="C878" s="52"/>
      <c r="D878" s="52"/>
      <c r="E878" s="53"/>
      <c r="F878" s="54">
        <f>+F871+F875+F877</f>
        <v>237355</v>
      </c>
    </row>
    <row r="879" spans="1:6" x14ac:dyDescent="0.25">
      <c r="A879" s="10" t="s">
        <v>15</v>
      </c>
      <c r="B879" s="11" t="s">
        <v>51</v>
      </c>
      <c r="C879" s="55"/>
      <c r="D879" s="55"/>
      <c r="E879" s="56"/>
      <c r="F879" s="57">
        <f>F878*0.15</f>
        <v>35603.25</v>
      </c>
    </row>
    <row r="880" spans="1:6" ht="14.4" thickBot="1" x14ac:dyDescent="0.3">
      <c r="A880" s="58" t="s">
        <v>16</v>
      </c>
      <c r="B880" s="59" t="s">
        <v>17</v>
      </c>
      <c r="C880" s="60"/>
      <c r="D880" s="60"/>
      <c r="E880" s="61"/>
      <c r="F880" s="62">
        <f>SUM(F878:F879)</f>
        <v>272958.25</v>
      </c>
    </row>
    <row r="882" spans="1:6" ht="14.4" thickBot="1" x14ac:dyDescent="0.3">
      <c r="A882" s="160" t="s">
        <v>499</v>
      </c>
      <c r="B882" s="161" t="s">
        <v>500</v>
      </c>
      <c r="C882" s="162"/>
      <c r="D882" s="162"/>
      <c r="E882" s="162"/>
      <c r="F882" s="162"/>
    </row>
    <row r="883" spans="1:6" ht="28.2" thickBot="1" x14ac:dyDescent="0.3">
      <c r="A883" s="163" t="s">
        <v>2</v>
      </c>
      <c r="B883" s="164" t="s">
        <v>3</v>
      </c>
      <c r="C883" s="164" t="s">
        <v>0</v>
      </c>
      <c r="D883" s="164" t="s">
        <v>4</v>
      </c>
      <c r="E883" s="164" t="s">
        <v>5</v>
      </c>
      <c r="F883" s="165" t="s">
        <v>6</v>
      </c>
    </row>
    <row r="884" spans="1:6" x14ac:dyDescent="0.25">
      <c r="A884" s="166">
        <v>1</v>
      </c>
      <c r="B884" s="167">
        <v>2</v>
      </c>
      <c r="C884" s="167">
        <v>3</v>
      </c>
      <c r="D884" s="167">
        <v>4</v>
      </c>
      <c r="E884" s="167">
        <v>5</v>
      </c>
      <c r="F884" s="168">
        <v>6</v>
      </c>
    </row>
    <row r="885" spans="1:6" x14ac:dyDescent="0.25">
      <c r="A885" s="169" t="s">
        <v>1</v>
      </c>
      <c r="B885" s="170" t="s">
        <v>150</v>
      </c>
      <c r="C885" s="171"/>
      <c r="D885" s="171"/>
      <c r="E885" s="171"/>
      <c r="F885" s="172"/>
    </row>
    <row r="886" spans="1:6" x14ac:dyDescent="0.25">
      <c r="A886" s="173"/>
      <c r="B886" s="174" t="s">
        <v>151</v>
      </c>
      <c r="C886" s="175" t="s">
        <v>7</v>
      </c>
      <c r="D886" s="568">
        <v>0.01</v>
      </c>
      <c r="E886" s="177">
        <f>'HARGA BAHAN'!E4</f>
        <v>125000</v>
      </c>
      <c r="F886" s="178">
        <f>+D886*E886</f>
        <v>1250</v>
      </c>
    </row>
    <row r="887" spans="1:6" x14ac:dyDescent="0.25">
      <c r="A887" s="173"/>
      <c r="B887" s="179" t="s">
        <v>199</v>
      </c>
      <c r="C887" s="180" t="s">
        <v>7</v>
      </c>
      <c r="D887" s="569">
        <v>0.1</v>
      </c>
      <c r="E887" s="177">
        <f>'HARGA BAHAN'!E5</f>
        <v>160000</v>
      </c>
      <c r="F887" s="423">
        <f>+D887*E887</f>
        <v>16000</v>
      </c>
    </row>
    <row r="888" spans="1:6" x14ac:dyDescent="0.25">
      <c r="A888" s="173"/>
      <c r="B888" s="174" t="s">
        <v>153</v>
      </c>
      <c r="C888" s="175" t="s">
        <v>7</v>
      </c>
      <c r="D888" s="569">
        <v>0.01</v>
      </c>
      <c r="E888" s="177">
        <f>'HARGA BAHAN'!E6</f>
        <v>180000</v>
      </c>
      <c r="F888" s="178">
        <f>+D888*E888</f>
        <v>1800</v>
      </c>
    </row>
    <row r="889" spans="1:6" ht="14.4" thickBot="1" x14ac:dyDescent="0.3">
      <c r="A889" s="182"/>
      <c r="B889" s="183" t="s">
        <v>154</v>
      </c>
      <c r="C889" s="184" t="s">
        <v>7</v>
      </c>
      <c r="D889" s="570">
        <v>5.0000000000000001E-3</v>
      </c>
      <c r="E889" s="177">
        <f>'HARGA BAHAN'!E7</f>
        <v>175000</v>
      </c>
      <c r="F889" s="424">
        <f>+D889*E889</f>
        <v>875</v>
      </c>
    </row>
    <row r="890" spans="1:6" ht="14.4" thickBot="1" x14ac:dyDescent="0.3">
      <c r="A890" s="186"/>
      <c r="B890" s="187"/>
      <c r="C890" s="188"/>
      <c r="D890" s="189" t="s">
        <v>8</v>
      </c>
      <c r="E890" s="190"/>
      <c r="F890" s="191">
        <f>SUM(F886:F889)</f>
        <v>19925</v>
      </c>
    </row>
    <row r="891" spans="1:6" x14ac:dyDescent="0.25">
      <c r="A891" s="192" t="s">
        <v>9</v>
      </c>
      <c r="B891" s="193" t="s">
        <v>155</v>
      </c>
      <c r="C891" s="194"/>
      <c r="D891" s="194"/>
      <c r="E891" s="194"/>
      <c r="F891" s="195"/>
    </row>
    <row r="892" spans="1:6" ht="14.4" thickBot="1" x14ac:dyDescent="0.3">
      <c r="A892" s="196"/>
      <c r="B892" s="197" t="s">
        <v>502</v>
      </c>
      <c r="C892" s="198" t="s">
        <v>236</v>
      </c>
      <c r="D892" s="388">
        <v>1</v>
      </c>
      <c r="E892" s="200">
        <f>'HARGA BAHAN'!E118</f>
        <v>126000</v>
      </c>
      <c r="F892" s="201">
        <f>+D892*E892</f>
        <v>126000</v>
      </c>
    </row>
    <row r="893" spans="1:6" ht="14.4" thickBot="1" x14ac:dyDescent="0.3">
      <c r="A893" s="186"/>
      <c r="B893" s="205"/>
      <c r="C893" s="205"/>
      <c r="D893" s="206" t="s">
        <v>10</v>
      </c>
      <c r="E893" s="205"/>
      <c r="F893" s="191">
        <f>SUM(F892:F892)</f>
        <v>126000</v>
      </c>
    </row>
    <row r="894" spans="1:6" ht="14.4" thickBot="1" x14ac:dyDescent="0.3">
      <c r="A894" s="192" t="s">
        <v>11</v>
      </c>
      <c r="B894" s="193" t="s">
        <v>160</v>
      </c>
      <c r="C894" s="194"/>
      <c r="D894" s="194"/>
      <c r="E894" s="194"/>
      <c r="F894" s="195"/>
    </row>
    <row r="895" spans="1:6" ht="14.4" thickBot="1" x14ac:dyDescent="0.3">
      <c r="A895" s="186"/>
      <c r="B895" s="187"/>
      <c r="C895" s="188"/>
      <c r="D895" s="189" t="s">
        <v>12</v>
      </c>
      <c r="E895" s="190"/>
      <c r="F895" s="191">
        <v>0</v>
      </c>
    </row>
    <row r="896" spans="1:6" x14ac:dyDescent="0.25">
      <c r="A896" s="192" t="s">
        <v>13</v>
      </c>
      <c r="B896" s="193" t="s">
        <v>14</v>
      </c>
      <c r="C896" s="213"/>
      <c r="D896" s="213"/>
      <c r="E896" s="214"/>
      <c r="F896" s="215">
        <f>+F890+F893+F895</f>
        <v>145925</v>
      </c>
    </row>
    <row r="897" spans="1:6" x14ac:dyDescent="0.25">
      <c r="A897" s="169" t="s">
        <v>15</v>
      </c>
      <c r="B897" s="170" t="s">
        <v>51</v>
      </c>
      <c r="C897" s="216"/>
      <c r="D897" s="216"/>
      <c r="E897" s="217"/>
      <c r="F897" s="218">
        <f>F896*0.15</f>
        <v>21888.75</v>
      </c>
    </row>
    <row r="898" spans="1:6" ht="14.4" thickBot="1" x14ac:dyDescent="0.3">
      <c r="A898" s="219" t="s">
        <v>16</v>
      </c>
      <c r="B898" s="220" t="s">
        <v>17</v>
      </c>
      <c r="C898" s="221"/>
      <c r="D898" s="221"/>
      <c r="E898" s="222"/>
      <c r="F898" s="223">
        <f>SUM(F896:F897)</f>
        <v>167813.75</v>
      </c>
    </row>
    <row r="900" spans="1:6" x14ac:dyDescent="0.25">
      <c r="A900" s="160" t="s">
        <v>534</v>
      </c>
      <c r="B900" s="160" t="s">
        <v>535</v>
      </c>
    </row>
    <row r="901" spans="1:6" ht="14.4" thickBot="1" x14ac:dyDescent="0.3">
      <c r="A901" s="160"/>
      <c r="B901" s="161" t="s">
        <v>536</v>
      </c>
      <c r="C901" s="162"/>
      <c r="D901" s="162"/>
      <c r="E901" s="162"/>
      <c r="F901" s="162"/>
    </row>
    <row r="902" spans="1:6" ht="28.2" thickBot="1" x14ac:dyDescent="0.3">
      <c r="A902" s="163" t="s">
        <v>2</v>
      </c>
      <c r="B902" s="164" t="s">
        <v>3</v>
      </c>
      <c r="C902" s="164" t="s">
        <v>0</v>
      </c>
      <c r="D902" s="164" t="s">
        <v>4</v>
      </c>
      <c r="E902" s="164" t="s">
        <v>5</v>
      </c>
      <c r="F902" s="165" t="s">
        <v>6</v>
      </c>
    </row>
    <row r="903" spans="1:6" x14ac:dyDescent="0.25">
      <c r="A903" s="166">
        <v>1</v>
      </c>
      <c r="B903" s="167">
        <v>2</v>
      </c>
      <c r="C903" s="167">
        <v>3</v>
      </c>
      <c r="D903" s="167">
        <v>4</v>
      </c>
      <c r="E903" s="167">
        <v>5</v>
      </c>
      <c r="F903" s="168">
        <v>6</v>
      </c>
    </row>
    <row r="904" spans="1:6" x14ac:dyDescent="0.25">
      <c r="A904" s="169" t="s">
        <v>1</v>
      </c>
      <c r="B904" s="170" t="s">
        <v>150</v>
      </c>
      <c r="C904" s="171"/>
      <c r="D904" s="171"/>
      <c r="E904" s="171"/>
      <c r="F904" s="172"/>
    </row>
    <row r="905" spans="1:6" x14ac:dyDescent="0.25">
      <c r="A905" s="173"/>
      <c r="B905" s="174" t="s">
        <v>151</v>
      </c>
      <c r="C905" s="175" t="s">
        <v>7</v>
      </c>
      <c r="D905" s="568">
        <v>5.3999999999999999E-2</v>
      </c>
      <c r="E905" s="177">
        <f>'HARGA BAHAN'!E4</f>
        <v>125000</v>
      </c>
      <c r="F905" s="178">
        <f>+D905*E905</f>
        <v>6750</v>
      </c>
    </row>
    <row r="906" spans="1:6" x14ac:dyDescent="0.25">
      <c r="A906" s="173"/>
      <c r="B906" s="179" t="s">
        <v>199</v>
      </c>
      <c r="C906" s="180" t="s">
        <v>7</v>
      </c>
      <c r="D906" s="569">
        <v>0.09</v>
      </c>
      <c r="E906" s="177">
        <f>'HARGA BAHAN'!E5</f>
        <v>160000</v>
      </c>
      <c r="F906" s="423">
        <f>+D906*E906</f>
        <v>14400</v>
      </c>
    </row>
    <row r="907" spans="1:6" x14ac:dyDescent="0.25">
      <c r="A907" s="173"/>
      <c r="B907" s="174" t="s">
        <v>153</v>
      </c>
      <c r="C907" s="175" t="s">
        <v>7</v>
      </c>
      <c r="D907" s="569">
        <v>8.9999999999999993E-3</v>
      </c>
      <c r="E907" s="177">
        <f>'HARGA BAHAN'!E6</f>
        <v>180000</v>
      </c>
      <c r="F907" s="178">
        <f>+D907*E907</f>
        <v>1619.9999999999998</v>
      </c>
    </row>
    <row r="908" spans="1:6" ht="14.4" thickBot="1" x14ac:dyDescent="0.3">
      <c r="A908" s="182"/>
      <c r="B908" s="183" t="s">
        <v>154</v>
      </c>
      <c r="C908" s="184" t="s">
        <v>7</v>
      </c>
      <c r="D908" s="570">
        <v>2.7E-2</v>
      </c>
      <c r="E908" s="177">
        <f>'HARGA BAHAN'!E7</f>
        <v>175000</v>
      </c>
      <c r="F908" s="424">
        <f>+D908*E908</f>
        <v>4725</v>
      </c>
    </row>
    <row r="909" spans="1:6" ht="14.4" thickBot="1" x14ac:dyDescent="0.3">
      <c r="A909" s="186"/>
      <c r="B909" s="187"/>
      <c r="C909" s="188"/>
      <c r="D909" s="189" t="s">
        <v>8</v>
      </c>
      <c r="E909" s="190"/>
      <c r="F909" s="191">
        <f>SUM(F905:F908)</f>
        <v>27495</v>
      </c>
    </row>
    <row r="910" spans="1:6" x14ac:dyDescent="0.25">
      <c r="A910" s="192" t="s">
        <v>9</v>
      </c>
      <c r="B910" s="193" t="s">
        <v>155</v>
      </c>
      <c r="C910" s="194"/>
      <c r="D910" s="194"/>
      <c r="E910" s="194"/>
      <c r="F910" s="195"/>
    </row>
    <row r="911" spans="1:6" x14ac:dyDescent="0.25">
      <c r="A911" s="196"/>
      <c r="B911" s="197" t="s">
        <v>538</v>
      </c>
      <c r="C911" s="198" t="s">
        <v>200</v>
      </c>
      <c r="D911" s="388">
        <v>1.2</v>
      </c>
      <c r="E911" s="200">
        <f>'HARGA BAHAN'!E55</f>
        <v>40833.333333333336</v>
      </c>
      <c r="F911" s="201">
        <f>+D911*E911</f>
        <v>49000</v>
      </c>
    </row>
    <row r="912" spans="1:6" x14ac:dyDescent="0.25">
      <c r="A912" s="173"/>
      <c r="B912" s="174" t="s">
        <v>545</v>
      </c>
      <c r="C912" s="175" t="s">
        <v>213</v>
      </c>
      <c r="D912" s="176">
        <v>0.05</v>
      </c>
      <c r="E912" s="177">
        <f>'HARGA BAHAN'!E26</f>
        <v>44700</v>
      </c>
      <c r="F912" s="178">
        <f>+D912*E912</f>
        <v>2235</v>
      </c>
    </row>
    <row r="913" spans="1:6" ht="14.4" thickBot="1" x14ac:dyDescent="0.3">
      <c r="A913" s="378"/>
      <c r="B913" s="379" t="s">
        <v>537</v>
      </c>
      <c r="C913" s="380" t="s">
        <v>202</v>
      </c>
      <c r="D913" s="663">
        <v>35</v>
      </c>
      <c r="E913" s="382">
        <f>SUM(F911:F912)</f>
        <v>51235</v>
      </c>
      <c r="F913" s="383">
        <f>(D913*E913)/100</f>
        <v>17932.25</v>
      </c>
    </row>
    <row r="914" spans="1:6" ht="14.4" thickBot="1" x14ac:dyDescent="0.3">
      <c r="A914" s="186"/>
      <c r="B914" s="205"/>
      <c r="C914" s="205"/>
      <c r="D914" s="206" t="s">
        <v>10</v>
      </c>
      <c r="E914" s="205"/>
      <c r="F914" s="191">
        <f>SUM(F911:F911)</f>
        <v>49000</v>
      </c>
    </row>
    <row r="915" spans="1:6" ht="14.4" thickBot="1" x14ac:dyDescent="0.3">
      <c r="A915" s="192" t="s">
        <v>11</v>
      </c>
      <c r="B915" s="193" t="s">
        <v>160</v>
      </c>
      <c r="C915" s="194"/>
      <c r="D915" s="194"/>
      <c r="E915" s="194"/>
      <c r="F915" s="195"/>
    </row>
    <row r="916" spans="1:6" ht="14.4" thickBot="1" x14ac:dyDescent="0.3">
      <c r="A916" s="186"/>
      <c r="B916" s="187"/>
      <c r="C916" s="188"/>
      <c r="D916" s="189" t="s">
        <v>12</v>
      </c>
      <c r="E916" s="190"/>
      <c r="F916" s="191">
        <v>0</v>
      </c>
    </row>
    <row r="917" spans="1:6" x14ac:dyDescent="0.25">
      <c r="A917" s="192" t="s">
        <v>13</v>
      </c>
      <c r="B917" s="193" t="s">
        <v>14</v>
      </c>
      <c r="C917" s="213"/>
      <c r="D917" s="213"/>
      <c r="E917" s="214"/>
      <c r="F917" s="215">
        <f>+F909+F914+F916</f>
        <v>76495</v>
      </c>
    </row>
    <row r="918" spans="1:6" x14ac:dyDescent="0.25">
      <c r="A918" s="169" t="s">
        <v>15</v>
      </c>
      <c r="B918" s="170" t="s">
        <v>51</v>
      </c>
      <c r="C918" s="216"/>
      <c r="D918" s="216"/>
      <c r="E918" s="217"/>
      <c r="F918" s="218">
        <f>F917*0.15</f>
        <v>11474.25</v>
      </c>
    </row>
    <row r="919" spans="1:6" ht="14.4" thickBot="1" x14ac:dyDescent="0.3">
      <c r="A919" s="219" t="s">
        <v>16</v>
      </c>
      <c r="B919" s="220" t="s">
        <v>17</v>
      </c>
      <c r="C919" s="221"/>
      <c r="D919" s="221"/>
      <c r="E919" s="222"/>
      <c r="F919" s="223">
        <f>SUM(F917:F918)</f>
        <v>87969.25</v>
      </c>
    </row>
    <row r="921" spans="1:6" ht="14.4" thickBot="1" x14ac:dyDescent="0.3">
      <c r="A921" s="160" t="s">
        <v>546</v>
      </c>
      <c r="B921" s="161" t="s">
        <v>547</v>
      </c>
      <c r="C921" s="162"/>
      <c r="D921" s="162"/>
      <c r="E921" s="162"/>
      <c r="F921" s="162"/>
    </row>
    <row r="922" spans="1:6" ht="28.2" thickBot="1" x14ac:dyDescent="0.3">
      <c r="A922" s="163" t="s">
        <v>2</v>
      </c>
      <c r="B922" s="164" t="s">
        <v>3</v>
      </c>
      <c r="C922" s="164" t="s">
        <v>0</v>
      </c>
      <c r="D922" s="164" t="s">
        <v>4</v>
      </c>
      <c r="E922" s="164" t="s">
        <v>5</v>
      </c>
      <c r="F922" s="165" t="s">
        <v>6</v>
      </c>
    </row>
    <row r="923" spans="1:6" x14ac:dyDescent="0.25">
      <c r="A923" s="166">
        <v>1</v>
      </c>
      <c r="B923" s="167">
        <v>2</v>
      </c>
      <c r="C923" s="167">
        <v>3</v>
      </c>
      <c r="D923" s="167">
        <v>4</v>
      </c>
      <c r="E923" s="167">
        <v>5</v>
      </c>
      <c r="F923" s="168">
        <v>6</v>
      </c>
    </row>
    <row r="924" spans="1:6" x14ac:dyDescent="0.25">
      <c r="A924" s="169" t="s">
        <v>1</v>
      </c>
      <c r="B924" s="170" t="s">
        <v>150</v>
      </c>
      <c r="C924" s="171"/>
      <c r="D924" s="171"/>
      <c r="E924" s="171"/>
      <c r="F924" s="172"/>
    </row>
    <row r="925" spans="1:6" x14ac:dyDescent="0.25">
      <c r="A925" s="173"/>
      <c r="B925" s="174" t="s">
        <v>151</v>
      </c>
      <c r="C925" s="175" t="s">
        <v>7</v>
      </c>
      <c r="D925" s="568">
        <f>0.054/2</f>
        <v>2.7E-2</v>
      </c>
      <c r="E925" s="177">
        <f>'HARGA BAHAN'!E4</f>
        <v>125000</v>
      </c>
      <c r="F925" s="178">
        <f>+D925*E925</f>
        <v>3375</v>
      </c>
    </row>
    <row r="926" spans="1:6" x14ac:dyDescent="0.25">
      <c r="A926" s="173"/>
      <c r="B926" s="179" t="s">
        <v>199</v>
      </c>
      <c r="C926" s="180" t="s">
        <v>7</v>
      </c>
      <c r="D926" s="569">
        <f>0.09/2</f>
        <v>4.4999999999999998E-2</v>
      </c>
      <c r="E926" s="177">
        <f>'HARGA BAHAN'!E5</f>
        <v>160000</v>
      </c>
      <c r="F926" s="423">
        <f>+D926*E926</f>
        <v>7200</v>
      </c>
    </row>
    <row r="927" spans="1:6" x14ac:dyDescent="0.25">
      <c r="A927" s="173"/>
      <c r="B927" s="174" t="s">
        <v>153</v>
      </c>
      <c r="C927" s="175" t="s">
        <v>7</v>
      </c>
      <c r="D927" s="569">
        <f>0.009/2</f>
        <v>4.4999999999999997E-3</v>
      </c>
      <c r="E927" s="177">
        <f>'HARGA BAHAN'!E6</f>
        <v>180000</v>
      </c>
      <c r="F927" s="178">
        <f>+D927*E927</f>
        <v>809.99999999999989</v>
      </c>
    </row>
    <row r="928" spans="1:6" ht="14.4" thickBot="1" x14ac:dyDescent="0.3">
      <c r="A928" s="182"/>
      <c r="B928" s="183" t="s">
        <v>154</v>
      </c>
      <c r="C928" s="184" t="s">
        <v>7</v>
      </c>
      <c r="D928" s="570">
        <f>0.027/2</f>
        <v>1.35E-2</v>
      </c>
      <c r="E928" s="177">
        <f>'HARGA BAHAN'!E7</f>
        <v>175000</v>
      </c>
      <c r="F928" s="424">
        <f>+D928*E928</f>
        <v>2362.5</v>
      </c>
    </row>
    <row r="929" spans="1:6" ht="14.4" thickBot="1" x14ac:dyDescent="0.3">
      <c r="A929" s="186"/>
      <c r="B929" s="187"/>
      <c r="C929" s="188"/>
      <c r="D929" s="189" t="s">
        <v>8</v>
      </c>
      <c r="E929" s="190"/>
      <c r="F929" s="191">
        <f>SUM(F925:F928)</f>
        <v>13747.5</v>
      </c>
    </row>
    <row r="930" spans="1:6" x14ac:dyDescent="0.25">
      <c r="A930" s="192" t="s">
        <v>9</v>
      </c>
      <c r="B930" s="193" t="s">
        <v>155</v>
      </c>
      <c r="C930" s="194"/>
      <c r="D930" s="194"/>
      <c r="E930" s="194"/>
      <c r="F930" s="195"/>
    </row>
    <row r="931" spans="1:6" x14ac:dyDescent="0.25">
      <c r="A931" s="196"/>
      <c r="B931" s="197" t="s">
        <v>548</v>
      </c>
      <c r="C931" s="198" t="s">
        <v>200</v>
      </c>
      <c r="D931" s="388">
        <v>1.2</v>
      </c>
      <c r="E931" s="200">
        <f>'HARGA BAHAN'!E53</f>
        <v>32000</v>
      </c>
      <c r="F931" s="201">
        <f>+D931*E931</f>
        <v>38400</v>
      </c>
    </row>
    <row r="932" spans="1:6" x14ac:dyDescent="0.25">
      <c r="A932" s="173"/>
      <c r="B932" s="174" t="s">
        <v>545</v>
      </c>
      <c r="C932" s="175" t="s">
        <v>213</v>
      </c>
      <c r="D932" s="176">
        <v>2.5000000000000001E-2</v>
      </c>
      <c r="E932" s="177">
        <f>'HARGA BAHAN'!E26</f>
        <v>44700</v>
      </c>
      <c r="F932" s="178">
        <f>+D932*E932</f>
        <v>1117.5</v>
      </c>
    </row>
    <row r="933" spans="1:6" ht="14.4" thickBot="1" x14ac:dyDescent="0.3">
      <c r="A933" s="378"/>
      <c r="B933" s="379" t="s">
        <v>537</v>
      </c>
      <c r="C933" s="380" t="s">
        <v>202</v>
      </c>
      <c r="D933" s="663">
        <v>35</v>
      </c>
      <c r="E933" s="382">
        <f>SUM(F931:F932)</f>
        <v>39517.5</v>
      </c>
      <c r="F933" s="383">
        <f>(D933*E933)/100</f>
        <v>13831.125</v>
      </c>
    </row>
    <row r="934" spans="1:6" ht="14.4" thickBot="1" x14ac:dyDescent="0.3">
      <c r="A934" s="186"/>
      <c r="B934" s="205"/>
      <c r="C934" s="205"/>
      <c r="D934" s="206" t="s">
        <v>10</v>
      </c>
      <c r="E934" s="205"/>
      <c r="F934" s="191">
        <f>SUM(F931:F931)</f>
        <v>38400</v>
      </c>
    </row>
    <row r="935" spans="1:6" ht="14.4" thickBot="1" x14ac:dyDescent="0.3">
      <c r="A935" s="192" t="s">
        <v>11</v>
      </c>
      <c r="B935" s="193" t="s">
        <v>160</v>
      </c>
      <c r="C935" s="194"/>
      <c r="D935" s="194"/>
      <c r="E935" s="194"/>
      <c r="F935" s="195"/>
    </row>
    <row r="936" spans="1:6" ht="14.4" thickBot="1" x14ac:dyDescent="0.3">
      <c r="A936" s="186"/>
      <c r="B936" s="187"/>
      <c r="C936" s="188"/>
      <c r="D936" s="189" t="s">
        <v>12</v>
      </c>
      <c r="E936" s="190"/>
      <c r="F936" s="191">
        <v>0</v>
      </c>
    </row>
    <row r="937" spans="1:6" x14ac:dyDescent="0.25">
      <c r="A937" s="192" t="s">
        <v>13</v>
      </c>
      <c r="B937" s="193" t="s">
        <v>14</v>
      </c>
      <c r="C937" s="213"/>
      <c r="D937" s="213"/>
      <c r="E937" s="214"/>
      <c r="F937" s="215">
        <f>+F929+F934+F936</f>
        <v>52147.5</v>
      </c>
    </row>
    <row r="938" spans="1:6" x14ac:dyDescent="0.25">
      <c r="A938" s="169" t="s">
        <v>15</v>
      </c>
      <c r="B938" s="170" t="s">
        <v>51</v>
      </c>
      <c r="C938" s="216"/>
      <c r="D938" s="216"/>
      <c r="E938" s="217"/>
      <c r="F938" s="218">
        <f>F937*0.15</f>
        <v>7822.125</v>
      </c>
    </row>
    <row r="939" spans="1:6" ht="14.4" thickBot="1" x14ac:dyDescent="0.3">
      <c r="A939" s="219" t="s">
        <v>16</v>
      </c>
      <c r="B939" s="220" t="s">
        <v>17</v>
      </c>
      <c r="C939" s="221"/>
      <c r="D939" s="221"/>
      <c r="E939" s="222"/>
      <c r="F939" s="223">
        <f>SUM(F937:F938)</f>
        <v>59969.625</v>
      </c>
    </row>
    <row r="941" spans="1:6" x14ac:dyDescent="0.25">
      <c r="A941" s="160" t="s">
        <v>549</v>
      </c>
      <c r="B941" s="160" t="s">
        <v>552</v>
      </c>
    </row>
    <row r="942" spans="1:6" ht="14.4" thickBot="1" x14ac:dyDescent="0.3">
      <c r="A942" s="160"/>
      <c r="B942" s="161" t="s">
        <v>550</v>
      </c>
      <c r="C942" s="162"/>
      <c r="D942" s="162"/>
      <c r="E942" s="162"/>
      <c r="F942" s="162"/>
    </row>
    <row r="943" spans="1:6" ht="28.2" thickBot="1" x14ac:dyDescent="0.3">
      <c r="A943" s="163" t="s">
        <v>2</v>
      </c>
      <c r="B943" s="164" t="s">
        <v>3</v>
      </c>
      <c r="C943" s="164" t="s">
        <v>0</v>
      </c>
      <c r="D943" s="164" t="s">
        <v>4</v>
      </c>
      <c r="E943" s="164" t="s">
        <v>5</v>
      </c>
      <c r="F943" s="165" t="s">
        <v>6</v>
      </c>
    </row>
    <row r="944" spans="1:6" x14ac:dyDescent="0.25">
      <c r="A944" s="166">
        <v>1</v>
      </c>
      <c r="B944" s="167">
        <v>2</v>
      </c>
      <c r="C944" s="167">
        <v>3</v>
      </c>
      <c r="D944" s="167">
        <v>4</v>
      </c>
      <c r="E944" s="167">
        <v>5</v>
      </c>
      <c r="F944" s="168">
        <v>6</v>
      </c>
    </row>
    <row r="945" spans="1:6" x14ac:dyDescent="0.25">
      <c r="A945" s="169" t="s">
        <v>1</v>
      </c>
      <c r="B945" s="170" t="s">
        <v>150</v>
      </c>
      <c r="C945" s="171"/>
      <c r="D945" s="171"/>
      <c r="E945" s="171"/>
      <c r="F945" s="172"/>
    </row>
    <row r="946" spans="1:6" x14ac:dyDescent="0.25">
      <c r="A946" s="173"/>
      <c r="B946" s="174" t="s">
        <v>151</v>
      </c>
      <c r="C946" s="175" t="s">
        <v>7</v>
      </c>
      <c r="D946" s="568">
        <v>5.3999999999999999E-2</v>
      </c>
      <c r="E946" s="177">
        <f>'HARGA BAHAN'!E4</f>
        <v>125000</v>
      </c>
      <c r="F946" s="178">
        <f>+D946*E946</f>
        <v>6750</v>
      </c>
    </row>
    <row r="947" spans="1:6" x14ac:dyDescent="0.25">
      <c r="A947" s="173"/>
      <c r="B947" s="179" t="s">
        <v>199</v>
      </c>
      <c r="C947" s="180" t="s">
        <v>7</v>
      </c>
      <c r="D947" s="569">
        <v>0.09</v>
      </c>
      <c r="E947" s="177">
        <f>'HARGA BAHAN'!E5</f>
        <v>160000</v>
      </c>
      <c r="F947" s="423">
        <f>+D947*E947</f>
        <v>14400</v>
      </c>
    </row>
    <row r="948" spans="1:6" x14ac:dyDescent="0.25">
      <c r="A948" s="173"/>
      <c r="B948" s="174" t="s">
        <v>153</v>
      </c>
      <c r="C948" s="175" t="s">
        <v>7</v>
      </c>
      <c r="D948" s="569">
        <v>8.9999999999999993E-3</v>
      </c>
      <c r="E948" s="177">
        <f>'HARGA BAHAN'!E6</f>
        <v>180000</v>
      </c>
      <c r="F948" s="178">
        <f>+D948*E948</f>
        <v>1619.9999999999998</v>
      </c>
    </row>
    <row r="949" spans="1:6" ht="14.4" thickBot="1" x14ac:dyDescent="0.3">
      <c r="A949" s="182"/>
      <c r="B949" s="183" t="s">
        <v>154</v>
      </c>
      <c r="C949" s="184" t="s">
        <v>7</v>
      </c>
      <c r="D949" s="570">
        <v>2.7E-2</v>
      </c>
      <c r="E949" s="177">
        <f>'HARGA BAHAN'!E7</f>
        <v>175000</v>
      </c>
      <c r="F949" s="424">
        <f>+D949*E949</f>
        <v>4725</v>
      </c>
    </row>
    <row r="950" spans="1:6" ht="14.4" thickBot="1" x14ac:dyDescent="0.3">
      <c r="A950" s="186"/>
      <c r="B950" s="187"/>
      <c r="C950" s="188"/>
      <c r="D950" s="189" t="s">
        <v>8</v>
      </c>
      <c r="E950" s="190"/>
      <c r="F950" s="191">
        <f>SUM(F946:F949)</f>
        <v>27495</v>
      </c>
    </row>
    <row r="951" spans="1:6" x14ac:dyDescent="0.25">
      <c r="A951" s="192" t="s">
        <v>9</v>
      </c>
      <c r="B951" s="193" t="s">
        <v>155</v>
      </c>
      <c r="C951" s="194"/>
      <c r="D951" s="194"/>
      <c r="E951" s="194"/>
      <c r="F951" s="195"/>
    </row>
    <row r="952" spans="1:6" x14ac:dyDescent="0.25">
      <c r="A952" s="196"/>
      <c r="B952" s="197" t="s">
        <v>551</v>
      </c>
      <c r="C952" s="198" t="s">
        <v>200</v>
      </c>
      <c r="D952" s="388">
        <v>1.2</v>
      </c>
      <c r="E952" s="200">
        <f>'HARGA BAHAN'!E57</f>
        <v>150000</v>
      </c>
      <c r="F952" s="201">
        <f>+D952*E952</f>
        <v>180000</v>
      </c>
    </row>
    <row r="953" spans="1:6" x14ac:dyDescent="0.25">
      <c r="A953" s="173"/>
      <c r="B953" s="174" t="s">
        <v>545</v>
      </c>
      <c r="C953" s="175" t="s">
        <v>213</v>
      </c>
      <c r="D953" s="176">
        <v>0.1</v>
      </c>
      <c r="E953" s="177">
        <f>'HARGA BAHAN'!E26</f>
        <v>44700</v>
      </c>
      <c r="F953" s="178">
        <f>+D953*E953</f>
        <v>4470</v>
      </c>
    </row>
    <row r="954" spans="1:6" ht="14.4" thickBot="1" x14ac:dyDescent="0.3">
      <c r="A954" s="378"/>
      <c r="B954" s="379" t="s">
        <v>537</v>
      </c>
      <c r="C954" s="380" t="s">
        <v>202</v>
      </c>
      <c r="D954" s="663">
        <v>35</v>
      </c>
      <c r="E954" s="382">
        <f>SUM(F952:F953)</f>
        <v>184470</v>
      </c>
      <c r="F954" s="383">
        <f>(D954*E954)/100</f>
        <v>64564.5</v>
      </c>
    </row>
    <row r="955" spans="1:6" ht="14.4" thickBot="1" x14ac:dyDescent="0.3">
      <c r="A955" s="186"/>
      <c r="B955" s="205"/>
      <c r="C955" s="205"/>
      <c r="D955" s="206" t="s">
        <v>10</v>
      </c>
      <c r="E955" s="205"/>
      <c r="F955" s="191">
        <f>SUM(F952:F952)</f>
        <v>180000</v>
      </c>
    </row>
    <row r="956" spans="1:6" ht="14.4" thickBot="1" x14ac:dyDescent="0.3">
      <c r="A956" s="192" t="s">
        <v>11</v>
      </c>
      <c r="B956" s="193" t="s">
        <v>160</v>
      </c>
      <c r="C956" s="194"/>
      <c r="D956" s="194"/>
      <c r="E956" s="194"/>
      <c r="F956" s="195"/>
    </row>
    <row r="957" spans="1:6" ht="14.4" thickBot="1" x14ac:dyDescent="0.3">
      <c r="A957" s="186"/>
      <c r="B957" s="187"/>
      <c r="C957" s="188"/>
      <c r="D957" s="189" t="s">
        <v>12</v>
      </c>
      <c r="E957" s="190"/>
      <c r="F957" s="191">
        <v>0</v>
      </c>
    </row>
    <row r="958" spans="1:6" x14ac:dyDescent="0.25">
      <c r="A958" s="192" t="s">
        <v>13</v>
      </c>
      <c r="B958" s="193" t="s">
        <v>14</v>
      </c>
      <c r="C958" s="213"/>
      <c r="D958" s="213"/>
      <c r="E958" s="214"/>
      <c r="F958" s="215">
        <f>+F950+F955+F957</f>
        <v>207495</v>
      </c>
    </row>
    <row r="959" spans="1:6" x14ac:dyDescent="0.25">
      <c r="A959" s="169" t="s">
        <v>15</v>
      </c>
      <c r="B959" s="170" t="s">
        <v>51</v>
      </c>
      <c r="C959" s="216"/>
      <c r="D959" s="216"/>
      <c r="E959" s="217"/>
      <c r="F959" s="218">
        <f>F958*0.15</f>
        <v>31124.25</v>
      </c>
    </row>
    <row r="960" spans="1:6" ht="14.4" thickBot="1" x14ac:dyDescent="0.3">
      <c r="A960" s="219" t="s">
        <v>16</v>
      </c>
      <c r="B960" s="220" t="s">
        <v>17</v>
      </c>
      <c r="C960" s="221"/>
      <c r="D960" s="221"/>
      <c r="E960" s="222"/>
      <c r="F960" s="223">
        <f>SUM(F958:F959)</f>
        <v>238619.25</v>
      </c>
    </row>
    <row r="962" spans="1:6" ht="14.4" thickBot="1" x14ac:dyDescent="0.3">
      <c r="A962" s="71" t="s">
        <v>216</v>
      </c>
      <c r="B962" s="2" t="s">
        <v>351</v>
      </c>
      <c r="C962" s="3"/>
      <c r="D962" s="3"/>
      <c r="E962" s="3"/>
      <c r="F962" s="3"/>
    </row>
    <row r="963" spans="1:6" ht="28.2" thickBot="1" x14ac:dyDescent="0.3">
      <c r="A963" s="4" t="s">
        <v>2</v>
      </c>
      <c r="B963" s="5" t="s">
        <v>3</v>
      </c>
      <c r="C963" s="5" t="s">
        <v>0</v>
      </c>
      <c r="D963" s="5" t="s">
        <v>4</v>
      </c>
      <c r="E963" s="5" t="s">
        <v>5</v>
      </c>
      <c r="F963" s="6" t="s">
        <v>6</v>
      </c>
    </row>
    <row r="964" spans="1:6" x14ac:dyDescent="0.25">
      <c r="A964" s="7">
        <v>1</v>
      </c>
      <c r="B964" s="8">
        <v>2</v>
      </c>
      <c r="C964" s="8">
        <v>3</v>
      </c>
      <c r="D964" s="8">
        <v>4</v>
      </c>
      <c r="E964" s="8">
        <v>5</v>
      </c>
      <c r="F964" s="9">
        <v>6</v>
      </c>
    </row>
    <row r="965" spans="1:6" x14ac:dyDescent="0.25">
      <c r="A965" s="10" t="s">
        <v>1</v>
      </c>
      <c r="B965" s="11" t="s">
        <v>76</v>
      </c>
      <c r="C965" s="12"/>
      <c r="D965" s="12"/>
      <c r="E965" s="12"/>
      <c r="F965" s="13"/>
    </row>
    <row r="966" spans="1:6" ht="14.4" thickBot="1" x14ac:dyDescent="0.3">
      <c r="A966" s="14"/>
      <c r="B966" s="15" t="s">
        <v>224</v>
      </c>
      <c r="C966" s="16" t="s">
        <v>202</v>
      </c>
      <c r="D966" s="17">
        <v>100</v>
      </c>
      <c r="E966" s="18">
        <f>'HARGA BAHAN'!E4</f>
        <v>125000</v>
      </c>
      <c r="F966" s="19">
        <f>D966*E966/100</f>
        <v>125000</v>
      </c>
    </row>
    <row r="967" spans="1:6" ht="14.4" thickBot="1" x14ac:dyDescent="0.3">
      <c r="A967" s="28"/>
      <c r="B967" s="29"/>
      <c r="C967" s="30"/>
      <c r="D967" s="31" t="s">
        <v>8</v>
      </c>
      <c r="E967" s="32"/>
      <c r="F967" s="33">
        <f>SUM(F966:F966)</f>
        <v>125000</v>
      </c>
    </row>
    <row r="968" spans="1:6" x14ac:dyDescent="0.25">
      <c r="A968" s="34" t="s">
        <v>9</v>
      </c>
      <c r="B968" s="35" t="s">
        <v>77</v>
      </c>
      <c r="C968" s="36"/>
      <c r="D968" s="36"/>
      <c r="E968" s="36"/>
      <c r="F968" s="37"/>
    </row>
    <row r="969" spans="1:6" x14ac:dyDescent="0.25">
      <c r="A969" s="38"/>
      <c r="B969" s="39" t="s">
        <v>352</v>
      </c>
      <c r="C969" s="40" t="s">
        <v>25</v>
      </c>
      <c r="D969" s="41">
        <v>3</v>
      </c>
      <c r="E969" s="42">
        <f>'HARGA BAHAN'!E125</f>
        <v>23000</v>
      </c>
      <c r="F969" s="43">
        <f>+D969*E969</f>
        <v>69000</v>
      </c>
    </row>
    <row r="970" spans="1:6" x14ac:dyDescent="0.25">
      <c r="A970" s="14"/>
      <c r="B970" s="15" t="s">
        <v>217</v>
      </c>
      <c r="C970" s="16" t="s">
        <v>67</v>
      </c>
      <c r="D970" s="17">
        <v>6</v>
      </c>
      <c r="E970" s="18">
        <f>'HARGA BAHAN'!E126</f>
        <v>12500</v>
      </c>
      <c r="F970" s="19">
        <f>+D970*E970</f>
        <v>75000</v>
      </c>
    </row>
    <row r="971" spans="1:6" x14ac:dyDescent="0.25">
      <c r="A971" s="14"/>
      <c r="B971" s="15" t="s">
        <v>218</v>
      </c>
      <c r="C971" s="16" t="s">
        <v>20</v>
      </c>
      <c r="D971" s="17">
        <v>3</v>
      </c>
      <c r="E971" s="18">
        <f>'HARGA BAHAN'!E127</f>
        <v>14000</v>
      </c>
      <c r="F971" s="19">
        <f t="shared" ref="F971:F975" si="21">+D971*E971</f>
        <v>42000</v>
      </c>
    </row>
    <row r="972" spans="1:6" x14ac:dyDescent="0.25">
      <c r="A972" s="14"/>
      <c r="B972" s="15" t="s">
        <v>219</v>
      </c>
      <c r="C972" s="16" t="s">
        <v>20</v>
      </c>
      <c r="D972" s="17">
        <v>4</v>
      </c>
      <c r="E972" s="18">
        <f>'HARGA BAHAN'!E128</f>
        <v>2800</v>
      </c>
      <c r="F972" s="19">
        <f t="shared" si="21"/>
        <v>11200</v>
      </c>
    </row>
    <row r="973" spans="1:6" x14ac:dyDescent="0.25">
      <c r="A973" s="14"/>
      <c r="B973" s="15" t="s">
        <v>220</v>
      </c>
      <c r="C973" s="16" t="s">
        <v>20</v>
      </c>
      <c r="D973" s="17">
        <v>1</v>
      </c>
      <c r="E973" s="18">
        <f>'HARGA BAHAN'!E129</f>
        <v>4500</v>
      </c>
      <c r="F973" s="19">
        <f t="shared" si="21"/>
        <v>4500</v>
      </c>
    </row>
    <row r="974" spans="1:6" x14ac:dyDescent="0.25">
      <c r="A974" s="14"/>
      <c r="B974" s="15" t="s">
        <v>221</v>
      </c>
      <c r="C974" s="16" t="s">
        <v>20</v>
      </c>
      <c r="D974" s="17">
        <v>24</v>
      </c>
      <c r="E974" s="18">
        <f>'HARGA BAHAN'!E130</f>
        <v>3790</v>
      </c>
      <c r="F974" s="19">
        <f t="shared" si="21"/>
        <v>90960</v>
      </c>
    </row>
    <row r="975" spans="1:6" x14ac:dyDescent="0.25">
      <c r="A975" s="14"/>
      <c r="B975" s="15" t="s">
        <v>222</v>
      </c>
      <c r="C975" s="16" t="s">
        <v>20</v>
      </c>
      <c r="D975" s="17">
        <v>1</v>
      </c>
      <c r="E975" s="18">
        <f>'HARGA BAHAN'!E131</f>
        <v>21000</v>
      </c>
      <c r="F975" s="19">
        <f t="shared" si="21"/>
        <v>21000</v>
      </c>
    </row>
    <row r="976" spans="1:6" ht="14.4" thickBot="1" x14ac:dyDescent="0.3">
      <c r="A976" s="79"/>
      <c r="B976" s="80" t="s">
        <v>223</v>
      </c>
      <c r="C976" s="16" t="s">
        <v>20</v>
      </c>
      <c r="D976" s="82">
        <v>1</v>
      </c>
      <c r="E976" s="18">
        <f>'HARGA BAHAN'!E132</f>
        <v>53000</v>
      </c>
      <c r="F976" s="74">
        <f>+D976*E976</f>
        <v>53000</v>
      </c>
    </row>
    <row r="977" spans="1:6" ht="14.4" thickBot="1" x14ac:dyDescent="0.3">
      <c r="A977" s="28"/>
      <c r="B977" s="44"/>
      <c r="C977" s="44"/>
      <c r="D977" s="45" t="s">
        <v>10</v>
      </c>
      <c r="E977" s="44"/>
      <c r="F977" s="33">
        <f>SUM(F969:F976)</f>
        <v>366660</v>
      </c>
    </row>
    <row r="978" spans="1:6" x14ac:dyDescent="0.25">
      <c r="A978" s="34" t="s">
        <v>11</v>
      </c>
      <c r="B978" s="35" t="s">
        <v>78</v>
      </c>
      <c r="C978" s="36"/>
      <c r="D978" s="36"/>
      <c r="E978" s="36"/>
      <c r="F978" s="37"/>
    </row>
    <row r="979" spans="1:6" ht="14.4" thickBot="1" x14ac:dyDescent="0.3">
      <c r="A979" s="46"/>
      <c r="B979" s="47"/>
      <c r="C979" s="48"/>
      <c r="D979" s="49"/>
      <c r="E979" s="50"/>
      <c r="F979" s="51"/>
    </row>
    <row r="980" spans="1:6" ht="14.4" thickBot="1" x14ac:dyDescent="0.3">
      <c r="A980" s="28"/>
      <c r="B980" s="29"/>
      <c r="C980" s="30"/>
      <c r="D980" s="31" t="s">
        <v>12</v>
      </c>
      <c r="E980" s="32"/>
      <c r="F980" s="33">
        <f>SUM(F979)</f>
        <v>0</v>
      </c>
    </row>
    <row r="981" spans="1:6" x14ac:dyDescent="0.25">
      <c r="A981" s="34" t="s">
        <v>13</v>
      </c>
      <c r="B981" s="35" t="s">
        <v>14</v>
      </c>
      <c r="C981" s="52"/>
      <c r="D981" s="52"/>
      <c r="E981" s="53"/>
      <c r="F981" s="54">
        <f>+F967+F977+F980</f>
        <v>491660</v>
      </c>
    </row>
    <row r="982" spans="1:6" x14ac:dyDescent="0.25">
      <c r="A982" s="10" t="s">
        <v>15</v>
      </c>
      <c r="B982" s="11" t="s">
        <v>51</v>
      </c>
      <c r="C982" s="55"/>
      <c r="D982" s="55"/>
      <c r="E982" s="56"/>
      <c r="F982" s="57">
        <f>F981*15%</f>
        <v>73749</v>
      </c>
    </row>
    <row r="983" spans="1:6" ht="14.4" thickBot="1" x14ac:dyDescent="0.3">
      <c r="A983" s="58" t="s">
        <v>16</v>
      </c>
      <c r="B983" s="59" t="s">
        <v>17</v>
      </c>
      <c r="C983" s="60"/>
      <c r="D983" s="60"/>
      <c r="E983" s="61"/>
      <c r="F983" s="62">
        <f>SUM(F981:F982)</f>
        <v>565409</v>
      </c>
    </row>
  </sheetData>
  <mergeCells count="2">
    <mergeCell ref="A1:F1"/>
    <mergeCell ref="A2:F2"/>
  </mergeCells>
  <pageMargins left="1.1811023622047245" right="0.70866141732283472" top="0.55118110236220474" bottom="0.15748031496062992" header="0.31496062992125984" footer="0.31496062992125984"/>
  <pageSetup paperSize="9" scale="81" orientation="portrait" r:id="rId1"/>
  <rowBreaks count="18" manualBreakCount="18">
    <brk id="53" max="5" man="1"/>
    <brk id="104" max="5" man="1"/>
    <brk id="148" max="5" man="1"/>
    <brk id="189" max="5" man="1"/>
    <brk id="232" max="16383" man="1"/>
    <brk id="274" max="16383" man="1"/>
    <brk id="318" max="5" man="1"/>
    <brk id="359" max="5" man="1"/>
    <brk id="398" max="5" man="1"/>
    <brk id="438" max="5" man="1"/>
    <brk id="495" max="5" man="1"/>
    <brk id="558" max="5" man="1"/>
    <brk id="622" max="5" man="1"/>
    <brk id="687" max="5" man="1"/>
    <brk id="746" max="5" man="1"/>
    <brk id="805" max="5" man="1"/>
    <brk id="862" max="5" man="1"/>
    <brk id="920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56"/>
  <sheetViews>
    <sheetView view="pageBreakPreview" zoomScaleNormal="100" zoomScaleSheetLayoutView="100" workbookViewId="0">
      <selection activeCell="C131" sqref="C131"/>
    </sheetView>
  </sheetViews>
  <sheetFormatPr defaultRowHeight="14.4" x14ac:dyDescent="0.3"/>
  <cols>
    <col min="1" max="1" width="5.33203125" style="73" customWidth="1"/>
    <col min="2" max="2" width="4.6640625" style="72" customWidth="1"/>
    <col min="3" max="3" width="46" style="72" customWidth="1"/>
    <col min="4" max="4" width="10.6640625" style="73" customWidth="1"/>
    <col min="5" max="5" width="20.6640625" style="72" customWidth="1"/>
    <col min="7" max="7" width="11.6640625" style="156" bestFit="1" customWidth="1"/>
    <col min="8" max="8" width="13.33203125" style="156" customWidth="1"/>
    <col min="9" max="9" width="10.5546875" style="156" customWidth="1"/>
    <col min="11" max="11" width="11.5546875" bestFit="1" customWidth="1"/>
    <col min="12" max="12" width="10.5546875" bestFit="1" customWidth="1"/>
    <col min="13" max="13" width="11.5546875" bestFit="1" customWidth="1"/>
  </cols>
  <sheetData>
    <row r="1" spans="1:9" ht="23.4" thickBot="1" x14ac:dyDescent="0.35">
      <c r="A1" s="892" t="s">
        <v>37</v>
      </c>
      <c r="B1" s="892"/>
      <c r="C1" s="892"/>
      <c r="D1" s="892"/>
      <c r="E1" s="892"/>
    </row>
    <row r="2" spans="1:9" ht="42.75" customHeight="1" thickTop="1" thickBot="1" x14ac:dyDescent="0.35">
      <c r="A2" s="149" t="s">
        <v>26</v>
      </c>
      <c r="B2" s="891" t="s">
        <v>38</v>
      </c>
      <c r="C2" s="891"/>
      <c r="D2" s="150" t="s">
        <v>29</v>
      </c>
      <c r="E2" s="151" t="s">
        <v>148</v>
      </c>
      <c r="G2" s="545" t="s">
        <v>408</v>
      </c>
      <c r="H2" s="545" t="s">
        <v>407</v>
      </c>
      <c r="I2" s="543" t="s">
        <v>409</v>
      </c>
    </row>
    <row r="3" spans="1:9" ht="20.100000000000001" customHeight="1" x14ac:dyDescent="0.3">
      <c r="A3" s="116" t="s">
        <v>32</v>
      </c>
      <c r="B3" s="117" t="s">
        <v>39</v>
      </c>
      <c r="C3" s="118"/>
      <c r="D3" s="119"/>
      <c r="E3" s="120"/>
      <c r="G3" s="544"/>
      <c r="H3" s="544"/>
      <c r="I3" s="544"/>
    </row>
    <row r="4" spans="1:9" ht="20.100000000000001" customHeight="1" x14ac:dyDescent="0.3">
      <c r="A4" s="121"/>
      <c r="B4" s="122">
        <v>1</v>
      </c>
      <c r="C4" s="122" t="s">
        <v>40</v>
      </c>
      <c r="D4" s="123" t="s">
        <v>7</v>
      </c>
      <c r="E4" s="124">
        <v>125000</v>
      </c>
      <c r="G4" s="544">
        <f>H4*I4</f>
        <v>120046.50000000001</v>
      </c>
      <c r="H4" s="544">
        <v>108150</v>
      </c>
      <c r="I4" s="544">
        <v>1.1100000000000001</v>
      </c>
    </row>
    <row r="5" spans="1:9" ht="20.100000000000001" customHeight="1" x14ac:dyDescent="0.3">
      <c r="A5" s="121"/>
      <c r="B5" s="122">
        <v>2</v>
      </c>
      <c r="C5" s="122" t="s">
        <v>41</v>
      </c>
      <c r="D5" s="123" t="s">
        <v>7</v>
      </c>
      <c r="E5" s="124">
        <v>160000</v>
      </c>
      <c r="G5" s="544">
        <f>H5*I5</f>
        <v>184593.00000000003</v>
      </c>
      <c r="H5" s="544">
        <v>166300</v>
      </c>
      <c r="I5" s="544">
        <v>1.1100000000000001</v>
      </c>
    </row>
    <row r="6" spans="1:9" ht="20.100000000000001" customHeight="1" x14ac:dyDescent="0.3">
      <c r="A6" s="121"/>
      <c r="B6" s="122">
        <v>3</v>
      </c>
      <c r="C6" s="122" t="s">
        <v>33</v>
      </c>
      <c r="D6" s="123" t="s">
        <v>7</v>
      </c>
      <c r="E6" s="124">
        <v>180000</v>
      </c>
      <c r="G6" s="544">
        <f>H6*I6</f>
        <v>227106.00000000003</v>
      </c>
      <c r="H6" s="544">
        <v>204600</v>
      </c>
      <c r="I6" s="544">
        <v>1.1100000000000001</v>
      </c>
    </row>
    <row r="7" spans="1:9" ht="20.100000000000001" customHeight="1" x14ac:dyDescent="0.3">
      <c r="A7" s="121"/>
      <c r="B7" s="122">
        <v>4</v>
      </c>
      <c r="C7" s="122" t="s">
        <v>42</v>
      </c>
      <c r="D7" s="123" t="s">
        <v>7</v>
      </c>
      <c r="E7" s="124">
        <v>175000</v>
      </c>
      <c r="G7" s="544">
        <f>H7*I7</f>
        <v>193806.00000000003</v>
      </c>
      <c r="H7" s="544">
        <v>174600</v>
      </c>
      <c r="I7" s="544">
        <v>1.1100000000000001</v>
      </c>
    </row>
    <row r="8" spans="1:9" ht="20.100000000000001" customHeight="1" thickBot="1" x14ac:dyDescent="0.35">
      <c r="A8" s="125"/>
      <c r="B8" s="126"/>
      <c r="C8" s="126"/>
      <c r="D8" s="127"/>
      <c r="E8" s="128"/>
      <c r="G8" s="544"/>
      <c r="H8" s="544"/>
      <c r="I8" s="544"/>
    </row>
    <row r="9" spans="1:9" ht="20.100000000000001" customHeight="1" x14ac:dyDescent="0.3">
      <c r="A9" s="129" t="s">
        <v>43</v>
      </c>
      <c r="B9" s="130" t="s">
        <v>44</v>
      </c>
      <c r="C9" s="131"/>
      <c r="D9" s="132"/>
      <c r="E9" s="133"/>
      <c r="G9" s="544"/>
      <c r="H9" s="544"/>
      <c r="I9" s="544"/>
    </row>
    <row r="10" spans="1:9" ht="20.100000000000001" customHeight="1" x14ac:dyDescent="0.3">
      <c r="A10" s="121"/>
      <c r="B10" s="122">
        <v>1</v>
      </c>
      <c r="C10" s="122" t="s">
        <v>75</v>
      </c>
      <c r="D10" s="123" t="s">
        <v>59</v>
      </c>
      <c r="E10" s="124">
        <v>280000</v>
      </c>
      <c r="G10" s="544">
        <f>H10*I10</f>
        <v>439810</v>
      </c>
      <c r="H10" s="544">
        <v>427000</v>
      </c>
      <c r="I10" s="544">
        <v>1.03</v>
      </c>
    </row>
    <row r="11" spans="1:9" ht="20.100000000000001" customHeight="1" x14ac:dyDescent="0.3">
      <c r="A11" s="121"/>
      <c r="B11" s="122">
        <f>+B10+1</f>
        <v>2</v>
      </c>
      <c r="C11" s="122" t="s">
        <v>82</v>
      </c>
      <c r="D11" s="123" t="s">
        <v>59</v>
      </c>
      <c r="E11" s="124">
        <v>180000</v>
      </c>
      <c r="G11" s="544">
        <f>H11*I11</f>
        <v>161195</v>
      </c>
      <c r="H11" s="544">
        <v>156500</v>
      </c>
      <c r="I11" s="544">
        <v>1.03</v>
      </c>
    </row>
    <row r="12" spans="1:9" ht="20.100000000000001" customHeight="1" x14ac:dyDescent="0.3">
      <c r="A12" s="121"/>
      <c r="B12" s="122">
        <f>+B11+1</f>
        <v>3</v>
      </c>
      <c r="C12" s="122" t="s">
        <v>411</v>
      </c>
      <c r="D12" s="123" t="s">
        <v>91</v>
      </c>
      <c r="E12" s="124">
        <v>80000</v>
      </c>
      <c r="G12" s="544">
        <f>H12*I12</f>
        <v>88800.000000000015</v>
      </c>
      <c r="H12" s="544">
        <v>80000</v>
      </c>
      <c r="I12" s="544">
        <v>1.1100000000000001</v>
      </c>
    </row>
    <row r="13" spans="1:9" ht="20.100000000000001" customHeight="1" x14ac:dyDescent="0.3">
      <c r="A13" s="121"/>
      <c r="B13" s="122"/>
      <c r="C13" s="122"/>
      <c r="D13" s="123" t="s">
        <v>21</v>
      </c>
      <c r="E13" s="124">
        <f>E12/40</f>
        <v>2000</v>
      </c>
      <c r="G13" s="544"/>
      <c r="H13" s="544"/>
      <c r="I13" s="544"/>
    </row>
    <row r="14" spans="1:9" ht="20.100000000000001" customHeight="1" x14ac:dyDescent="0.3">
      <c r="A14" s="121"/>
      <c r="B14" s="122">
        <f>B12+1</f>
        <v>4</v>
      </c>
      <c r="C14" s="122" t="s">
        <v>333</v>
      </c>
      <c r="D14" s="123" t="s">
        <v>21</v>
      </c>
      <c r="E14" s="124">
        <v>59000</v>
      </c>
      <c r="G14" s="544"/>
      <c r="H14" s="544"/>
      <c r="I14" s="544"/>
    </row>
    <row r="15" spans="1:9" ht="20.100000000000001" customHeight="1" x14ac:dyDescent="0.3">
      <c r="A15" s="121"/>
      <c r="B15" s="122">
        <f>B14+1</f>
        <v>5</v>
      </c>
      <c r="C15" s="122" t="s">
        <v>89</v>
      </c>
      <c r="D15" s="123" t="s">
        <v>59</v>
      </c>
      <c r="E15" s="124">
        <v>210000</v>
      </c>
      <c r="G15" s="544">
        <f>H15*I15</f>
        <v>220890.00000000003</v>
      </c>
      <c r="H15" s="544">
        <v>199000</v>
      </c>
      <c r="I15" s="544">
        <v>1.1100000000000001</v>
      </c>
    </row>
    <row r="16" spans="1:9" ht="20.100000000000001" customHeight="1" x14ac:dyDescent="0.3">
      <c r="A16" s="121"/>
      <c r="B16" s="122"/>
      <c r="C16" s="122"/>
      <c r="D16" s="123" t="s">
        <v>21</v>
      </c>
      <c r="E16" s="134">
        <f>E15/1400</f>
        <v>150</v>
      </c>
      <c r="G16" s="544"/>
      <c r="H16" s="544"/>
      <c r="I16" s="544"/>
    </row>
    <row r="17" spans="1:13" ht="20.100000000000001" customHeight="1" x14ac:dyDescent="0.3">
      <c r="A17" s="121"/>
      <c r="B17" s="122">
        <f>B15+1</f>
        <v>6</v>
      </c>
      <c r="C17" s="122" t="s">
        <v>413</v>
      </c>
      <c r="D17" s="123" t="s">
        <v>59</v>
      </c>
      <c r="E17" s="124">
        <v>385000</v>
      </c>
      <c r="G17" s="544">
        <f>H17*I17</f>
        <v>482040</v>
      </c>
      <c r="H17" s="544">
        <v>468000</v>
      </c>
      <c r="I17" s="544">
        <v>1.03</v>
      </c>
    </row>
    <row r="18" spans="1:13" ht="20.100000000000001" customHeight="1" x14ac:dyDescent="0.3">
      <c r="A18" s="121"/>
      <c r="B18" s="122"/>
      <c r="C18" s="122"/>
      <c r="D18" s="123" t="s">
        <v>21</v>
      </c>
      <c r="E18" s="134">
        <v>270</v>
      </c>
      <c r="G18" s="544"/>
      <c r="H18" s="544"/>
      <c r="I18" s="544"/>
    </row>
    <row r="19" spans="1:13" ht="20.100000000000001" customHeight="1" x14ac:dyDescent="0.3">
      <c r="A19" s="121"/>
      <c r="B19" s="122">
        <f>B17+1</f>
        <v>7</v>
      </c>
      <c r="C19" s="122" t="s">
        <v>92</v>
      </c>
      <c r="D19" s="123" t="s">
        <v>88</v>
      </c>
      <c r="E19" s="124">
        <v>120</v>
      </c>
      <c r="G19" s="544"/>
      <c r="H19" s="544"/>
      <c r="I19" s="544"/>
    </row>
    <row r="20" spans="1:13" ht="20.100000000000001" customHeight="1" x14ac:dyDescent="0.3">
      <c r="A20" s="121"/>
      <c r="B20" s="122">
        <f>B19+1</f>
        <v>8</v>
      </c>
      <c r="C20" s="122" t="s">
        <v>96</v>
      </c>
      <c r="D20" s="123" t="s">
        <v>21</v>
      </c>
      <c r="E20" s="124">
        <v>18000</v>
      </c>
      <c r="G20" s="544">
        <f>H20*I20</f>
        <v>17982</v>
      </c>
      <c r="H20" s="544">
        <v>16200</v>
      </c>
      <c r="I20" s="544">
        <v>1.1100000000000001</v>
      </c>
    </row>
    <row r="21" spans="1:13" ht="20.100000000000001" customHeight="1" x14ac:dyDescent="0.3">
      <c r="A21" s="121"/>
      <c r="B21" s="122">
        <f>B20+1</f>
        <v>9</v>
      </c>
      <c r="C21" s="122" t="s">
        <v>646</v>
      </c>
      <c r="D21" s="123" t="s">
        <v>21</v>
      </c>
      <c r="E21" s="124">
        <v>19200</v>
      </c>
      <c r="G21" s="544">
        <f>H21*I21</f>
        <v>18205</v>
      </c>
      <c r="H21" s="544">
        <v>16550</v>
      </c>
      <c r="I21" s="544">
        <v>1.1000000000000001</v>
      </c>
      <c r="K21" s="666"/>
      <c r="L21" s="666"/>
      <c r="M21" s="666"/>
    </row>
    <row r="22" spans="1:13" ht="20.100000000000001" customHeight="1" x14ac:dyDescent="0.3">
      <c r="A22" s="121"/>
      <c r="B22" s="122">
        <f>B21+1</f>
        <v>10</v>
      </c>
      <c r="C22" s="122" t="s">
        <v>95</v>
      </c>
      <c r="D22" s="123" t="s">
        <v>21</v>
      </c>
      <c r="E22" s="124">
        <v>30000</v>
      </c>
      <c r="G22" s="544">
        <f>H22*I22</f>
        <v>27750.000000000004</v>
      </c>
      <c r="H22" s="544">
        <v>25000</v>
      </c>
      <c r="I22" s="544">
        <v>1.1100000000000001</v>
      </c>
    </row>
    <row r="23" spans="1:13" ht="20.100000000000001" customHeight="1" x14ac:dyDescent="0.3">
      <c r="A23" s="121"/>
      <c r="B23" s="122">
        <f t="shared" ref="B23:B37" si="0">B22+1</f>
        <v>11</v>
      </c>
      <c r="C23" s="122" t="s">
        <v>430</v>
      </c>
      <c r="D23" s="123" t="s">
        <v>21</v>
      </c>
      <c r="E23" s="124">
        <f>166900+32500</f>
        <v>199400</v>
      </c>
      <c r="G23" s="544"/>
      <c r="H23" s="544"/>
      <c r="I23" s="544"/>
      <c r="K23">
        <f>1100000/148</f>
        <v>7432.4324324324325</v>
      </c>
    </row>
    <row r="24" spans="1:13" ht="20.100000000000001" customHeight="1" x14ac:dyDescent="0.3">
      <c r="A24" s="121"/>
      <c r="B24" s="122"/>
      <c r="C24" s="122" t="s">
        <v>430</v>
      </c>
      <c r="D24" s="123" t="s">
        <v>336</v>
      </c>
      <c r="E24" s="124">
        <f>17780+6500</f>
        <v>24280</v>
      </c>
      <c r="G24" s="544"/>
      <c r="H24" s="544"/>
      <c r="I24" s="544"/>
    </row>
    <row r="25" spans="1:13" ht="20.100000000000001" customHeight="1" x14ac:dyDescent="0.3">
      <c r="A25" s="121"/>
      <c r="B25" s="122">
        <f>B23+1</f>
        <v>12</v>
      </c>
      <c r="C25" s="122" t="s">
        <v>432</v>
      </c>
      <c r="D25" s="123" t="s">
        <v>336</v>
      </c>
      <c r="E25" s="124">
        <f>10400+3250</f>
        <v>13650</v>
      </c>
      <c r="G25" s="544"/>
      <c r="H25" s="544"/>
      <c r="I25" s="544"/>
      <c r="K25">
        <f>52000/5</f>
        <v>10400</v>
      </c>
    </row>
    <row r="26" spans="1:13" ht="20.100000000000001" customHeight="1" x14ac:dyDescent="0.3">
      <c r="A26" s="121"/>
      <c r="B26" s="122">
        <f t="shared" si="0"/>
        <v>13</v>
      </c>
      <c r="C26" s="122" t="s">
        <v>420</v>
      </c>
      <c r="D26" s="123" t="s">
        <v>213</v>
      </c>
      <c r="E26" s="124">
        <v>44700</v>
      </c>
      <c r="G26" s="544">
        <f>H26*I26</f>
        <v>44733.000000000007</v>
      </c>
      <c r="H26" s="544">
        <v>40300</v>
      </c>
      <c r="I26" s="544">
        <v>1.1100000000000001</v>
      </c>
    </row>
    <row r="27" spans="1:13" ht="20.100000000000001" customHeight="1" x14ac:dyDescent="0.3">
      <c r="A27" s="121"/>
      <c r="B27" s="122">
        <f>B22+1</f>
        <v>11</v>
      </c>
      <c r="C27" s="122" t="s">
        <v>98</v>
      </c>
      <c r="D27" s="123" t="s">
        <v>59</v>
      </c>
      <c r="E27" s="124">
        <v>5200000</v>
      </c>
      <c r="G27" s="544"/>
      <c r="H27" s="544"/>
      <c r="I27" s="544"/>
    </row>
    <row r="28" spans="1:13" ht="20.100000000000001" customHeight="1" x14ac:dyDescent="0.3">
      <c r="A28" s="121"/>
      <c r="B28" s="122">
        <f t="shared" si="0"/>
        <v>12</v>
      </c>
      <c r="C28" s="122" t="s">
        <v>101</v>
      </c>
      <c r="D28" s="123" t="s">
        <v>21</v>
      </c>
      <c r="E28" s="124">
        <v>25500</v>
      </c>
      <c r="G28" s="544">
        <f>H28*I28</f>
        <v>25530.000000000004</v>
      </c>
      <c r="H28" s="544">
        <v>23000</v>
      </c>
      <c r="I28" s="544">
        <v>1.1100000000000001</v>
      </c>
    </row>
    <row r="29" spans="1:13" ht="20.100000000000001" customHeight="1" x14ac:dyDescent="0.3">
      <c r="A29" s="121"/>
      <c r="B29" s="122">
        <f t="shared" si="0"/>
        <v>13</v>
      </c>
      <c r="C29" s="122" t="s">
        <v>102</v>
      </c>
      <c r="D29" s="123" t="s">
        <v>88</v>
      </c>
      <c r="E29" s="124">
        <v>21000</v>
      </c>
      <c r="G29" s="544"/>
      <c r="H29" s="544"/>
      <c r="I29" s="544"/>
    </row>
    <row r="30" spans="1:13" ht="20.100000000000001" customHeight="1" x14ac:dyDescent="0.3">
      <c r="A30" s="121"/>
      <c r="B30" s="122">
        <f t="shared" si="0"/>
        <v>14</v>
      </c>
      <c r="C30" s="122" t="s">
        <v>104</v>
      </c>
      <c r="D30" s="123" t="s">
        <v>59</v>
      </c>
      <c r="E30" s="124">
        <v>225000</v>
      </c>
      <c r="G30" s="544"/>
      <c r="H30" s="544"/>
      <c r="I30" s="544"/>
    </row>
    <row r="31" spans="1:13" ht="20.100000000000001" customHeight="1" x14ac:dyDescent="0.3">
      <c r="A31" s="121"/>
      <c r="B31" s="122">
        <f t="shared" si="0"/>
        <v>15</v>
      </c>
      <c r="C31" s="122" t="s">
        <v>405</v>
      </c>
      <c r="D31" s="123" t="s">
        <v>20</v>
      </c>
      <c r="E31" s="124">
        <v>1000</v>
      </c>
      <c r="G31" s="544">
        <f>H31*I31</f>
        <v>999.00000000000011</v>
      </c>
      <c r="H31" s="544">
        <v>900</v>
      </c>
      <c r="I31" s="544">
        <v>1.1100000000000001</v>
      </c>
    </row>
    <row r="32" spans="1:13" ht="20.100000000000001" customHeight="1" x14ac:dyDescent="0.3">
      <c r="A32" s="121"/>
      <c r="B32" s="122">
        <f t="shared" si="0"/>
        <v>16</v>
      </c>
      <c r="C32" s="122" t="s">
        <v>406</v>
      </c>
      <c r="D32" s="123" t="s">
        <v>20</v>
      </c>
      <c r="E32" s="124">
        <v>1100</v>
      </c>
      <c r="G32" s="544">
        <f>H32*I32</f>
        <v>1110</v>
      </c>
      <c r="H32" s="544">
        <v>1000</v>
      </c>
      <c r="I32" s="544">
        <v>1.1100000000000001</v>
      </c>
    </row>
    <row r="33" spans="1:9" ht="20.100000000000001" customHeight="1" x14ac:dyDescent="0.3">
      <c r="A33" s="121"/>
      <c r="B33" s="122">
        <f t="shared" si="0"/>
        <v>17</v>
      </c>
      <c r="C33" s="122" t="s">
        <v>112</v>
      </c>
      <c r="D33" s="123" t="s">
        <v>59</v>
      </c>
      <c r="E33" s="124">
        <v>7100000</v>
      </c>
      <c r="G33" s="544"/>
      <c r="H33" s="544"/>
      <c r="I33" s="544"/>
    </row>
    <row r="34" spans="1:9" ht="20.100000000000001" customHeight="1" x14ac:dyDescent="0.3">
      <c r="A34" s="121"/>
      <c r="B34" s="122"/>
      <c r="C34" s="122" t="s">
        <v>245</v>
      </c>
      <c r="D34" s="123" t="s">
        <v>379</v>
      </c>
      <c r="E34" s="124">
        <v>7100000</v>
      </c>
      <c r="G34" s="544"/>
      <c r="H34" s="544"/>
      <c r="I34" s="544"/>
    </row>
    <row r="35" spans="1:9" ht="20.100000000000001" customHeight="1" x14ac:dyDescent="0.3">
      <c r="A35" s="121"/>
      <c r="B35" s="122">
        <f>B33+1</f>
        <v>18</v>
      </c>
      <c r="C35" s="122" t="s">
        <v>684</v>
      </c>
      <c r="D35" s="123" t="s">
        <v>53</v>
      </c>
      <c r="E35" s="124">
        <f>62000+36000</f>
        <v>98000</v>
      </c>
      <c r="G35" s="544"/>
      <c r="H35" s="544"/>
      <c r="I35" s="544"/>
    </row>
    <row r="36" spans="1:9" ht="20.100000000000001" customHeight="1" x14ac:dyDescent="0.3">
      <c r="A36" s="121"/>
      <c r="B36" s="122">
        <f>B35+1</f>
        <v>19</v>
      </c>
      <c r="C36" s="122" t="s">
        <v>358</v>
      </c>
      <c r="D36" s="123" t="s">
        <v>53</v>
      </c>
      <c r="E36" s="124">
        <v>242800</v>
      </c>
      <c r="G36" s="544"/>
      <c r="H36" s="544"/>
      <c r="I36" s="544"/>
    </row>
    <row r="37" spans="1:9" ht="20.100000000000001" customHeight="1" x14ac:dyDescent="0.3">
      <c r="A37" s="121"/>
      <c r="B37" s="122">
        <f t="shared" si="0"/>
        <v>20</v>
      </c>
      <c r="C37" s="122" t="s">
        <v>247</v>
      </c>
      <c r="D37" s="123" t="s">
        <v>248</v>
      </c>
      <c r="E37" s="124">
        <v>616000</v>
      </c>
      <c r="G37" s="544"/>
      <c r="H37" s="544"/>
      <c r="I37" s="544"/>
    </row>
    <row r="38" spans="1:9" ht="20.100000000000001" customHeight="1" x14ac:dyDescent="0.3">
      <c r="A38" s="121"/>
      <c r="B38" s="122">
        <f>B37+1</f>
        <v>21</v>
      </c>
      <c r="C38" s="122" t="s">
        <v>375</v>
      </c>
      <c r="D38" s="123" t="s">
        <v>25</v>
      </c>
      <c r="E38" s="124">
        <v>91519</v>
      </c>
      <c r="G38" s="544"/>
      <c r="H38" s="544"/>
      <c r="I38" s="544"/>
    </row>
    <row r="39" spans="1:9" ht="20.100000000000001" customHeight="1" x14ac:dyDescent="0.3">
      <c r="A39" s="121"/>
      <c r="B39" s="565">
        <f>B38+1</f>
        <v>22</v>
      </c>
      <c r="C39" s="565" t="s">
        <v>458</v>
      </c>
      <c r="D39" s="566" t="s">
        <v>119</v>
      </c>
      <c r="E39" s="567">
        <v>80000</v>
      </c>
      <c r="G39" s="544"/>
      <c r="H39" s="544"/>
      <c r="I39" s="544"/>
    </row>
    <row r="40" spans="1:9" ht="20.100000000000001" customHeight="1" x14ac:dyDescent="0.3">
      <c r="A40" s="121"/>
      <c r="B40" s="565"/>
      <c r="C40" s="565"/>
      <c r="D40" s="566" t="s">
        <v>45</v>
      </c>
      <c r="E40" s="567">
        <f>E39/16</f>
        <v>5000</v>
      </c>
      <c r="G40" s="544"/>
      <c r="H40" s="544"/>
      <c r="I40" s="544"/>
    </row>
    <row r="41" spans="1:9" ht="20.100000000000001" customHeight="1" x14ac:dyDescent="0.3">
      <c r="A41" s="121"/>
      <c r="B41" s="565">
        <f>B39+1</f>
        <v>23</v>
      </c>
      <c r="C41" s="565" t="s">
        <v>463</v>
      </c>
      <c r="D41" s="566" t="s">
        <v>119</v>
      </c>
      <c r="E41" s="567">
        <v>100000</v>
      </c>
      <c r="G41" s="544"/>
      <c r="H41" s="544"/>
      <c r="I41" s="544"/>
    </row>
    <row r="42" spans="1:9" ht="20.100000000000001" customHeight="1" x14ac:dyDescent="0.3">
      <c r="A42" s="121"/>
      <c r="B42" s="565"/>
      <c r="C42" s="565"/>
      <c r="D42" s="566" t="s">
        <v>45</v>
      </c>
      <c r="E42" s="567">
        <f>E41/10</f>
        <v>10000</v>
      </c>
      <c r="G42" s="544"/>
      <c r="H42" s="544"/>
      <c r="I42" s="544"/>
    </row>
    <row r="43" spans="1:9" ht="20.100000000000001" hidden="1" customHeight="1" x14ac:dyDescent="0.3">
      <c r="A43" s="121"/>
      <c r="B43" s="122">
        <f>B41+1</f>
        <v>24</v>
      </c>
      <c r="C43" s="122" t="s">
        <v>135</v>
      </c>
      <c r="D43" s="123" t="s">
        <v>119</v>
      </c>
      <c r="E43" s="124">
        <v>415000</v>
      </c>
      <c r="G43" s="544"/>
      <c r="H43" s="544"/>
      <c r="I43" s="544"/>
    </row>
    <row r="44" spans="1:9" ht="20.100000000000001" hidden="1" customHeight="1" x14ac:dyDescent="0.3">
      <c r="A44" s="121"/>
      <c r="B44" s="122"/>
      <c r="C44" s="122"/>
      <c r="D44" s="123" t="s">
        <v>45</v>
      </c>
      <c r="E44" s="124">
        <f>E43/4</f>
        <v>103750</v>
      </c>
      <c r="G44" s="544"/>
      <c r="H44" s="544"/>
      <c r="I44" s="544"/>
    </row>
    <row r="45" spans="1:9" ht="20.100000000000001" customHeight="1" x14ac:dyDescent="0.3">
      <c r="A45" s="121"/>
      <c r="B45" s="122">
        <f>B43+1</f>
        <v>25</v>
      </c>
      <c r="C45" s="122" t="s">
        <v>412</v>
      </c>
      <c r="D45" s="123" t="s">
        <v>21</v>
      </c>
      <c r="E45" s="124">
        <f>G45</f>
        <v>6438.0000000000009</v>
      </c>
      <c r="G45" s="544">
        <f>H45*I45</f>
        <v>6438.0000000000009</v>
      </c>
      <c r="H45" s="544">
        <v>5800</v>
      </c>
      <c r="I45" s="544">
        <v>1.1100000000000001</v>
      </c>
    </row>
    <row r="46" spans="1:9" ht="20.100000000000001" customHeight="1" x14ac:dyDescent="0.3">
      <c r="A46" s="121"/>
      <c r="B46" s="122">
        <f>B45+1</f>
        <v>26</v>
      </c>
      <c r="C46" s="122" t="s">
        <v>120</v>
      </c>
      <c r="D46" s="123" t="s">
        <v>21</v>
      </c>
      <c r="E46" s="567">
        <f>E47*6</f>
        <v>123000</v>
      </c>
      <c r="G46" s="544"/>
      <c r="H46" s="544"/>
      <c r="I46" s="544"/>
    </row>
    <row r="47" spans="1:9" ht="20.100000000000001" customHeight="1" x14ac:dyDescent="0.3">
      <c r="A47" s="121"/>
      <c r="B47" s="122"/>
      <c r="C47" s="122" t="s">
        <v>175</v>
      </c>
      <c r="D47" s="123" t="s">
        <v>336</v>
      </c>
      <c r="E47" s="567">
        <v>20500</v>
      </c>
      <c r="G47" s="544">
        <v>19800</v>
      </c>
      <c r="H47" s="544"/>
      <c r="I47" s="544"/>
    </row>
    <row r="48" spans="1:9" ht="20.100000000000001" customHeight="1" x14ac:dyDescent="0.3">
      <c r="A48" s="121"/>
      <c r="B48" s="122">
        <f>B46+1</f>
        <v>27</v>
      </c>
      <c r="C48" s="122" t="s">
        <v>506</v>
      </c>
      <c r="D48" s="123" t="s">
        <v>336</v>
      </c>
      <c r="E48" s="124">
        <v>120000</v>
      </c>
      <c r="G48" s="544"/>
      <c r="H48" s="544"/>
      <c r="I48" s="544"/>
    </row>
    <row r="49" spans="1:12" ht="20.100000000000001" customHeight="1" x14ac:dyDescent="0.3">
      <c r="A49" s="121"/>
      <c r="B49" s="122">
        <f>B48+1</f>
        <v>28</v>
      </c>
      <c r="C49" s="122" t="s">
        <v>507</v>
      </c>
      <c r="D49" s="123" t="s">
        <v>159</v>
      </c>
      <c r="E49" s="124">
        <v>4000</v>
      </c>
      <c r="G49" s="544"/>
      <c r="H49" s="544"/>
      <c r="I49" s="544"/>
    </row>
    <row r="50" spans="1:12" ht="20.100000000000001" customHeight="1" x14ac:dyDescent="0.3">
      <c r="A50" s="121"/>
      <c r="B50" s="122">
        <f>B49+1</f>
        <v>29</v>
      </c>
      <c r="C50" s="122" t="s">
        <v>415</v>
      </c>
      <c r="D50" s="123" t="s">
        <v>416</v>
      </c>
      <c r="E50" s="124">
        <f>802000+200000</f>
        <v>1002000</v>
      </c>
      <c r="G50" s="544"/>
      <c r="H50" s="544"/>
      <c r="I50" s="544"/>
    </row>
    <row r="51" spans="1:12" ht="20.100000000000001" customHeight="1" x14ac:dyDescent="0.3">
      <c r="A51" s="121"/>
      <c r="B51" s="122"/>
      <c r="C51" s="122" t="s">
        <v>417</v>
      </c>
      <c r="D51" s="123" t="s">
        <v>336</v>
      </c>
      <c r="E51" s="124">
        <f>E50/6</f>
        <v>167000</v>
      </c>
      <c r="G51" s="544"/>
      <c r="H51" s="544"/>
      <c r="I51" s="544"/>
    </row>
    <row r="52" spans="1:12" ht="20.100000000000001" customHeight="1" x14ac:dyDescent="0.3">
      <c r="A52" s="121"/>
      <c r="B52" s="122">
        <f>B50+1</f>
        <v>30</v>
      </c>
      <c r="C52" s="122" t="s">
        <v>539</v>
      </c>
      <c r="D52" s="123" t="s">
        <v>416</v>
      </c>
      <c r="E52" s="124">
        <f>32000*6</f>
        <v>192000</v>
      </c>
      <c r="G52" s="544"/>
      <c r="H52" s="544"/>
      <c r="I52" s="544"/>
    </row>
    <row r="53" spans="1:12" ht="20.100000000000001" customHeight="1" x14ac:dyDescent="0.3">
      <c r="A53" s="121"/>
      <c r="B53" s="122"/>
      <c r="C53" s="122" t="s">
        <v>540</v>
      </c>
      <c r="D53" s="123" t="s">
        <v>336</v>
      </c>
      <c r="E53" s="124">
        <f>E52/6</f>
        <v>32000</v>
      </c>
      <c r="G53" s="544"/>
      <c r="H53" s="544"/>
      <c r="I53" s="544"/>
    </row>
    <row r="54" spans="1:12" ht="20.100000000000001" customHeight="1" x14ac:dyDescent="0.3">
      <c r="A54" s="121"/>
      <c r="B54" s="122">
        <f>B52+1</f>
        <v>31</v>
      </c>
      <c r="C54" s="122" t="s">
        <v>541</v>
      </c>
      <c r="D54" s="123" t="s">
        <v>416</v>
      </c>
      <c r="E54" s="124">
        <v>245000</v>
      </c>
      <c r="G54" s="544"/>
      <c r="H54" s="544"/>
      <c r="I54" s="544"/>
    </row>
    <row r="55" spans="1:12" ht="20.100000000000001" customHeight="1" x14ac:dyDescent="0.3">
      <c r="A55" s="121"/>
      <c r="B55" s="122"/>
      <c r="C55" s="122" t="s">
        <v>542</v>
      </c>
      <c r="D55" s="123" t="s">
        <v>336</v>
      </c>
      <c r="E55" s="124">
        <f>E54/6</f>
        <v>40833.333333333336</v>
      </c>
      <c r="G55" s="544"/>
      <c r="H55" s="544"/>
      <c r="I55" s="544"/>
    </row>
    <row r="56" spans="1:12" ht="20.100000000000001" customHeight="1" x14ac:dyDescent="0.3">
      <c r="A56" s="121"/>
      <c r="B56" s="122">
        <f>B54+1</f>
        <v>32</v>
      </c>
      <c r="C56" s="122" t="s">
        <v>543</v>
      </c>
      <c r="D56" s="123" t="s">
        <v>416</v>
      </c>
      <c r="E56" s="567">
        <f>E57*6</f>
        <v>900000</v>
      </c>
      <c r="G56" s="544"/>
      <c r="H56" s="544"/>
      <c r="I56" s="544"/>
    </row>
    <row r="57" spans="1:12" ht="20.100000000000001" customHeight="1" x14ac:dyDescent="0.3">
      <c r="A57" s="121"/>
      <c r="B57" s="122"/>
      <c r="C57" s="122" t="s">
        <v>544</v>
      </c>
      <c r="D57" s="123" t="s">
        <v>336</v>
      </c>
      <c r="E57" s="567">
        <v>150000</v>
      </c>
      <c r="G57" s="544"/>
      <c r="H57" s="544"/>
      <c r="I57" s="544"/>
    </row>
    <row r="58" spans="1:12" ht="20.100000000000001" customHeight="1" x14ac:dyDescent="0.3">
      <c r="A58" s="121"/>
      <c r="B58" s="122">
        <f>B56+1</f>
        <v>33</v>
      </c>
      <c r="C58" s="122" t="s">
        <v>555</v>
      </c>
      <c r="D58" s="123" t="s">
        <v>416</v>
      </c>
      <c r="E58" s="567">
        <f>E59*6</f>
        <v>150000</v>
      </c>
      <c r="G58" s="544"/>
      <c r="H58" s="544"/>
      <c r="I58" s="544"/>
    </row>
    <row r="59" spans="1:12" ht="20.100000000000001" customHeight="1" x14ac:dyDescent="0.3">
      <c r="A59" s="121"/>
      <c r="B59" s="122"/>
      <c r="C59" s="122" t="s">
        <v>556</v>
      </c>
      <c r="D59" s="123" t="s">
        <v>336</v>
      </c>
      <c r="E59" s="567">
        <v>25000</v>
      </c>
      <c r="G59" s="544"/>
      <c r="H59" s="544"/>
      <c r="I59" s="544"/>
    </row>
    <row r="60" spans="1:12" ht="20.100000000000001" customHeight="1" x14ac:dyDescent="0.3">
      <c r="A60" s="121"/>
      <c r="B60" s="122">
        <f>B58+1</f>
        <v>34</v>
      </c>
      <c r="C60" s="122" t="s">
        <v>122</v>
      </c>
      <c r="D60" s="123" t="s">
        <v>20</v>
      </c>
      <c r="E60" s="567">
        <v>265000</v>
      </c>
      <c r="G60" s="544"/>
      <c r="H60" s="544"/>
      <c r="I60" s="544"/>
    </row>
    <row r="61" spans="1:12" ht="20.100000000000001" customHeight="1" x14ac:dyDescent="0.3">
      <c r="A61" s="121"/>
      <c r="B61" s="122"/>
      <c r="C61" s="122" t="s">
        <v>182</v>
      </c>
      <c r="D61" s="123" t="s">
        <v>181</v>
      </c>
      <c r="E61" s="567">
        <v>55200</v>
      </c>
      <c r="G61" s="544">
        <v>89000</v>
      </c>
      <c r="H61" s="544"/>
      <c r="I61" s="544">
        <f>20*1.22</f>
        <v>24.4</v>
      </c>
    </row>
    <row r="62" spans="1:12" ht="20.100000000000001" customHeight="1" x14ac:dyDescent="0.3">
      <c r="A62" s="121"/>
      <c r="B62" s="122">
        <f>B60+1</f>
        <v>35</v>
      </c>
      <c r="C62" s="667" t="s">
        <v>660</v>
      </c>
      <c r="D62" s="123" t="s">
        <v>248</v>
      </c>
      <c r="E62" s="124">
        <f>375000+8500</f>
        <v>383500</v>
      </c>
      <c r="G62" s="544"/>
      <c r="H62" s="544"/>
      <c r="I62" s="544"/>
      <c r="L62" s="558"/>
    </row>
    <row r="63" spans="1:12" ht="20.100000000000001" customHeight="1" x14ac:dyDescent="0.3">
      <c r="A63" s="121"/>
      <c r="B63" s="122">
        <f>B62+1</f>
        <v>36</v>
      </c>
      <c r="C63" s="122" t="s">
        <v>661</v>
      </c>
      <c r="D63" s="123" t="s">
        <v>248</v>
      </c>
      <c r="E63" s="567">
        <f>114000+36000</f>
        <v>150000</v>
      </c>
      <c r="G63" s="544"/>
      <c r="H63" s="544"/>
      <c r="I63" s="544"/>
      <c r="L63" s="558"/>
    </row>
    <row r="64" spans="1:12" ht="20.100000000000001" customHeight="1" x14ac:dyDescent="0.3">
      <c r="A64" s="121"/>
      <c r="B64" s="122">
        <f>B63+1</f>
        <v>37</v>
      </c>
      <c r="C64" s="557" t="s">
        <v>528</v>
      </c>
      <c r="D64" s="123" t="s">
        <v>396</v>
      </c>
      <c r="E64" s="124">
        <v>5950000</v>
      </c>
      <c r="G64" s="544"/>
      <c r="H64" s="544"/>
      <c r="I64" s="544"/>
      <c r="L64" s="559"/>
    </row>
    <row r="65" spans="1:11" ht="20.100000000000001" customHeight="1" x14ac:dyDescent="0.3">
      <c r="A65" s="121"/>
      <c r="B65" s="122"/>
      <c r="C65" s="557" t="s">
        <v>529</v>
      </c>
      <c r="D65" s="123" t="s">
        <v>336</v>
      </c>
      <c r="E65" s="124">
        <f>E64/100</f>
        <v>59500</v>
      </c>
      <c r="G65" s="544"/>
      <c r="H65" s="544"/>
      <c r="I65" s="544"/>
    </row>
    <row r="66" spans="1:11" ht="20.100000000000001" customHeight="1" x14ac:dyDescent="0.3">
      <c r="A66" s="121"/>
      <c r="B66" s="122"/>
      <c r="C66" s="557" t="s">
        <v>429</v>
      </c>
      <c r="D66" s="123" t="s">
        <v>339</v>
      </c>
      <c r="E66" s="124">
        <v>19850</v>
      </c>
      <c r="G66" s="544"/>
      <c r="H66" s="544"/>
      <c r="I66" s="544"/>
    </row>
    <row r="67" spans="1:11" ht="20.100000000000001" customHeight="1" x14ac:dyDescent="0.3">
      <c r="A67" s="121"/>
      <c r="B67" s="122">
        <f>B64+1</f>
        <v>38</v>
      </c>
      <c r="C67" s="557" t="s">
        <v>531</v>
      </c>
      <c r="D67" s="123" t="s">
        <v>396</v>
      </c>
      <c r="E67" s="124">
        <v>3650000</v>
      </c>
      <c r="G67" s="544"/>
      <c r="H67" s="544"/>
      <c r="I67" s="544"/>
    </row>
    <row r="68" spans="1:11" ht="20.100000000000001" customHeight="1" x14ac:dyDescent="0.3">
      <c r="A68" s="121"/>
      <c r="B68" s="122"/>
      <c r="C68" s="557" t="s">
        <v>532</v>
      </c>
      <c r="D68" s="123" t="s">
        <v>336</v>
      </c>
      <c r="E68" s="124">
        <f>E67/100</f>
        <v>36500</v>
      </c>
      <c r="G68" s="544"/>
      <c r="H68" s="544"/>
      <c r="I68" s="544"/>
    </row>
    <row r="69" spans="1:11" ht="20.100000000000001" customHeight="1" x14ac:dyDescent="0.3">
      <c r="A69" s="121"/>
      <c r="B69" s="122"/>
      <c r="C69" s="557" t="s">
        <v>533</v>
      </c>
      <c r="D69" s="123" t="s">
        <v>339</v>
      </c>
      <c r="E69" s="124">
        <f>E68/3</f>
        <v>12166.666666666666</v>
      </c>
      <c r="G69" s="544"/>
      <c r="H69" s="544"/>
      <c r="I69" s="544"/>
    </row>
    <row r="70" spans="1:11" ht="20.100000000000001" customHeight="1" x14ac:dyDescent="0.3">
      <c r="A70" s="121"/>
      <c r="B70" s="122">
        <f>B67+1</f>
        <v>39</v>
      </c>
      <c r="C70" s="122" t="s">
        <v>127</v>
      </c>
      <c r="D70" s="123" t="s">
        <v>379</v>
      </c>
      <c r="E70" s="567">
        <v>5200000</v>
      </c>
      <c r="G70" s="544"/>
      <c r="H70" s="544"/>
      <c r="I70" s="544"/>
    </row>
    <row r="71" spans="1:11" ht="20.100000000000001" customHeight="1" x14ac:dyDescent="0.3">
      <c r="A71" s="148"/>
      <c r="B71" s="122">
        <f t="shared" ref="B71:B83" si="1">B70+1</f>
        <v>40</v>
      </c>
      <c r="C71" s="122" t="s">
        <v>145</v>
      </c>
      <c r="D71" s="123" t="s">
        <v>339</v>
      </c>
      <c r="E71" s="567">
        <v>140000</v>
      </c>
      <c r="G71" s="544"/>
      <c r="H71" s="544"/>
      <c r="I71" s="544"/>
    </row>
    <row r="72" spans="1:11" ht="20.100000000000001" customHeight="1" x14ac:dyDescent="0.3">
      <c r="A72" s="121"/>
      <c r="B72" s="122">
        <f t="shared" si="1"/>
        <v>41</v>
      </c>
      <c r="C72" s="122" t="s">
        <v>353</v>
      </c>
      <c r="D72" s="123" t="s">
        <v>248</v>
      </c>
      <c r="E72" s="124">
        <v>891000</v>
      </c>
      <c r="G72" s="544"/>
      <c r="H72" s="544"/>
      <c r="I72" s="544"/>
    </row>
    <row r="73" spans="1:11" ht="20.100000000000001" customHeight="1" x14ac:dyDescent="0.3">
      <c r="A73" s="121"/>
      <c r="B73" s="565">
        <f t="shared" si="1"/>
        <v>42</v>
      </c>
      <c r="C73" s="565" t="s">
        <v>504</v>
      </c>
      <c r="D73" s="566" t="s">
        <v>159</v>
      </c>
      <c r="E73" s="567">
        <v>680000</v>
      </c>
      <c r="G73" s="544"/>
      <c r="H73" s="544"/>
      <c r="I73" s="544"/>
    </row>
    <row r="74" spans="1:11" ht="20.100000000000001" customHeight="1" x14ac:dyDescent="0.3">
      <c r="A74" s="121"/>
      <c r="B74" s="122">
        <f t="shared" si="1"/>
        <v>43</v>
      </c>
      <c r="C74" s="122" t="s">
        <v>191</v>
      </c>
      <c r="D74" s="123" t="s">
        <v>23</v>
      </c>
      <c r="E74" s="124">
        <v>142450</v>
      </c>
      <c r="G74" s="544">
        <f>3.96*0.2</f>
        <v>0.79200000000000004</v>
      </c>
      <c r="H74" s="544"/>
      <c r="I74" s="544"/>
      <c r="K74">
        <f>0.2*4</f>
        <v>0.8</v>
      </c>
    </row>
    <row r="75" spans="1:11" ht="20.100000000000001" customHeight="1" x14ac:dyDescent="0.3">
      <c r="A75" s="121"/>
      <c r="B75" s="122"/>
      <c r="C75" s="122" t="s">
        <v>190</v>
      </c>
      <c r="D75" s="123" t="s">
        <v>189</v>
      </c>
      <c r="E75" s="124">
        <f>E74*1.263</f>
        <v>179914.34999999998</v>
      </c>
      <c r="G75" s="544">
        <v>1.2629999999999999</v>
      </c>
      <c r="H75" s="544">
        <f>G74*G75</f>
        <v>1.0002960000000001</v>
      </c>
      <c r="I75" s="544"/>
    </row>
    <row r="76" spans="1:11" ht="20.100000000000001" customHeight="1" x14ac:dyDescent="0.3">
      <c r="A76" s="121"/>
      <c r="B76" s="122">
        <f>B74+1</f>
        <v>44</v>
      </c>
      <c r="C76" s="122" t="s">
        <v>196</v>
      </c>
      <c r="D76" s="123" t="s">
        <v>197</v>
      </c>
      <c r="E76" s="124">
        <f>G76+(G76*3%)</f>
        <v>50367</v>
      </c>
      <c r="G76" s="544">
        <v>48900</v>
      </c>
      <c r="H76" s="544"/>
      <c r="I76" s="544"/>
    </row>
    <row r="77" spans="1:11" ht="20.100000000000001" customHeight="1" x14ac:dyDescent="0.3">
      <c r="A77" s="121"/>
      <c r="B77" s="122">
        <f>B76+1</f>
        <v>45</v>
      </c>
      <c r="C77" s="122" t="s">
        <v>22</v>
      </c>
      <c r="D77" s="123" t="s">
        <v>21</v>
      </c>
      <c r="E77" s="124">
        <v>29500</v>
      </c>
      <c r="G77" s="544"/>
      <c r="H77" s="544"/>
      <c r="I77" s="544"/>
    </row>
    <row r="78" spans="1:11" ht="20.100000000000001" customHeight="1" x14ac:dyDescent="0.3">
      <c r="A78" s="121"/>
      <c r="B78" s="122"/>
      <c r="C78" s="122" t="s">
        <v>184</v>
      </c>
      <c r="D78" s="123" t="s">
        <v>159</v>
      </c>
      <c r="E78" s="124">
        <f>G78+(G78*5%)</f>
        <v>420</v>
      </c>
      <c r="G78" s="544">
        <v>400</v>
      </c>
      <c r="H78" s="544"/>
      <c r="I78" s="544"/>
    </row>
    <row r="79" spans="1:11" ht="20.100000000000001" customHeight="1" x14ac:dyDescent="0.3">
      <c r="A79" s="121"/>
      <c r="B79" s="122"/>
      <c r="C79" s="122" t="s">
        <v>183</v>
      </c>
      <c r="D79" s="123" t="s">
        <v>159</v>
      </c>
      <c r="E79" s="124">
        <f>G79+(G79*10%)</f>
        <v>550</v>
      </c>
      <c r="G79" s="544">
        <v>500</v>
      </c>
      <c r="H79" s="544"/>
      <c r="I79" s="544"/>
    </row>
    <row r="80" spans="1:11" ht="20.100000000000001" customHeight="1" x14ac:dyDescent="0.3">
      <c r="A80" s="121"/>
      <c r="B80" s="122">
        <f>B77+1</f>
        <v>46</v>
      </c>
      <c r="C80" s="122" t="s">
        <v>172</v>
      </c>
      <c r="D80" s="123" t="s">
        <v>157</v>
      </c>
      <c r="E80" s="124">
        <f>G80+(G80*5%)</f>
        <v>8925</v>
      </c>
      <c r="G80" s="544">
        <v>8500</v>
      </c>
      <c r="H80" s="544"/>
      <c r="I80" s="544"/>
    </row>
    <row r="81" spans="1:9" ht="20.100000000000001" customHeight="1" x14ac:dyDescent="0.3">
      <c r="A81" s="121"/>
      <c r="B81" s="122">
        <f t="shared" si="1"/>
        <v>47</v>
      </c>
      <c r="C81" s="122" t="s">
        <v>173</v>
      </c>
      <c r="D81" s="123" t="s">
        <v>159</v>
      </c>
      <c r="E81" s="124">
        <f>G81+(G81*5%)</f>
        <v>4200</v>
      </c>
      <c r="G81" s="544">
        <v>4000</v>
      </c>
      <c r="H81" s="544"/>
      <c r="I81" s="544"/>
    </row>
    <row r="82" spans="1:9" ht="20.100000000000001" customHeight="1" x14ac:dyDescent="0.3">
      <c r="A82" s="121"/>
      <c r="B82" s="122">
        <f>B81+1</f>
        <v>48</v>
      </c>
      <c r="C82" s="122" t="s">
        <v>130</v>
      </c>
      <c r="D82" s="123" t="s">
        <v>67</v>
      </c>
      <c r="E82" s="124">
        <v>30000</v>
      </c>
      <c r="G82" s="544"/>
      <c r="H82" s="544"/>
      <c r="I82" s="544"/>
    </row>
    <row r="83" spans="1:9" ht="20.100000000000001" customHeight="1" x14ac:dyDescent="0.3">
      <c r="A83" s="135"/>
      <c r="B83" s="122">
        <f t="shared" si="1"/>
        <v>49</v>
      </c>
      <c r="C83" s="122" t="s">
        <v>206</v>
      </c>
      <c r="D83" s="123" t="s">
        <v>119</v>
      </c>
      <c r="E83" s="124">
        <v>159700</v>
      </c>
      <c r="G83" s="544"/>
      <c r="H83" s="544"/>
      <c r="I83" s="544"/>
    </row>
    <row r="84" spans="1:9" ht="20.100000000000001" customHeight="1" x14ac:dyDescent="0.3">
      <c r="A84" s="121"/>
      <c r="B84" s="136"/>
      <c r="C84" s="136"/>
      <c r="D84" s="123" t="s">
        <v>159</v>
      </c>
      <c r="E84" s="138">
        <f>E83/11</f>
        <v>14518.181818181818</v>
      </c>
      <c r="G84" s="544"/>
      <c r="H84" s="544"/>
      <c r="I84" s="544"/>
    </row>
    <row r="85" spans="1:9" ht="20.100000000000001" customHeight="1" x14ac:dyDescent="0.3">
      <c r="A85" s="121"/>
      <c r="B85" s="122">
        <f>B83+1</f>
        <v>50</v>
      </c>
      <c r="C85" s="122" t="s">
        <v>207</v>
      </c>
      <c r="D85" s="123" t="s">
        <v>159</v>
      </c>
      <c r="E85" s="124">
        <f>G85+(G85*3%)</f>
        <v>24565.5</v>
      </c>
      <c r="G85" s="544">
        <v>23850</v>
      </c>
      <c r="H85" s="544"/>
      <c r="I85" s="544"/>
    </row>
    <row r="86" spans="1:9" ht="20.100000000000001" customHeight="1" x14ac:dyDescent="0.3">
      <c r="A86" s="121"/>
      <c r="B86" s="122">
        <f t="shared" ref="B86:B99" si="2">B85+1</f>
        <v>51</v>
      </c>
      <c r="C86" s="122" t="s">
        <v>146</v>
      </c>
      <c r="D86" s="123" t="s">
        <v>18</v>
      </c>
      <c r="E86" s="138">
        <f>750000/(1.2*2.4)</f>
        <v>260416.66666666669</v>
      </c>
      <c r="G86" s="544"/>
      <c r="H86" s="544"/>
      <c r="I86" s="544"/>
    </row>
    <row r="87" spans="1:9" ht="20.100000000000001" customHeight="1" x14ac:dyDescent="0.3">
      <c r="A87" s="121"/>
      <c r="B87" s="122">
        <f t="shared" si="2"/>
        <v>52</v>
      </c>
      <c r="C87" s="136" t="s">
        <v>54</v>
      </c>
      <c r="D87" s="137" t="s">
        <v>21</v>
      </c>
      <c r="E87" s="681">
        <v>30000</v>
      </c>
      <c r="G87" s="544"/>
      <c r="H87" s="544"/>
      <c r="I87" s="544"/>
    </row>
    <row r="88" spans="1:9" ht="20.100000000000001" customHeight="1" x14ac:dyDescent="0.3">
      <c r="A88" s="121"/>
      <c r="B88" s="122"/>
      <c r="C88" s="136" t="s">
        <v>293</v>
      </c>
      <c r="D88" s="137" t="s">
        <v>21</v>
      </c>
      <c r="E88" s="681">
        <v>62000</v>
      </c>
      <c r="G88" s="544"/>
      <c r="H88" s="544"/>
      <c r="I88" s="544"/>
    </row>
    <row r="89" spans="1:9" ht="20.100000000000001" customHeight="1" x14ac:dyDescent="0.3">
      <c r="A89" s="121"/>
      <c r="B89" s="122">
        <f>B87+1</f>
        <v>53</v>
      </c>
      <c r="C89" s="122" t="s">
        <v>34</v>
      </c>
      <c r="D89" s="123" t="s">
        <v>21</v>
      </c>
      <c r="E89" s="567">
        <v>42000</v>
      </c>
      <c r="G89" s="544">
        <f>H89*I89</f>
        <v>31635.000000000004</v>
      </c>
      <c r="H89" s="544">
        <v>28500</v>
      </c>
      <c r="I89" s="544">
        <v>1.1100000000000001</v>
      </c>
    </row>
    <row r="90" spans="1:9" ht="20.100000000000001" customHeight="1" x14ac:dyDescent="0.3">
      <c r="A90" s="121"/>
      <c r="B90" s="122">
        <f t="shared" si="2"/>
        <v>54</v>
      </c>
      <c r="C90" s="122" t="s">
        <v>295</v>
      </c>
      <c r="D90" s="123" t="s">
        <v>21</v>
      </c>
      <c r="E90" s="567">
        <v>40000</v>
      </c>
      <c r="G90" s="544">
        <f>H90*I90</f>
        <v>53280.000000000007</v>
      </c>
      <c r="H90" s="544">
        <v>48000</v>
      </c>
      <c r="I90" s="544">
        <v>1.1100000000000001</v>
      </c>
    </row>
    <row r="91" spans="1:9" ht="20.100000000000001" customHeight="1" x14ac:dyDescent="0.3">
      <c r="A91" s="121"/>
      <c r="B91" s="122">
        <f t="shared" si="2"/>
        <v>55</v>
      </c>
      <c r="C91" s="122" t="s">
        <v>296</v>
      </c>
      <c r="D91" s="123" t="s">
        <v>21</v>
      </c>
      <c r="E91" s="567">
        <v>85000</v>
      </c>
      <c r="G91" s="544">
        <f>H91*I91</f>
        <v>89910.000000000015</v>
      </c>
      <c r="H91" s="544">
        <v>81000</v>
      </c>
      <c r="I91" s="544">
        <v>1.1100000000000001</v>
      </c>
    </row>
    <row r="92" spans="1:9" ht="20.100000000000001" customHeight="1" x14ac:dyDescent="0.3">
      <c r="A92" s="121"/>
      <c r="B92" s="122">
        <f t="shared" si="2"/>
        <v>56</v>
      </c>
      <c r="C92" s="122" t="s">
        <v>299</v>
      </c>
      <c r="D92" s="123" t="s">
        <v>290</v>
      </c>
      <c r="E92" s="567">
        <v>30000</v>
      </c>
      <c r="G92" s="544">
        <f>H92*I92</f>
        <v>64380.000000000007</v>
      </c>
      <c r="H92" s="544">
        <v>58000</v>
      </c>
      <c r="I92" s="544">
        <v>1.1100000000000001</v>
      </c>
    </row>
    <row r="93" spans="1:9" ht="20.100000000000001" customHeight="1" x14ac:dyDescent="0.3">
      <c r="A93" s="121"/>
      <c r="B93" s="122">
        <f t="shared" si="2"/>
        <v>57</v>
      </c>
      <c r="C93" s="122" t="s">
        <v>650</v>
      </c>
      <c r="D93" s="123" t="s">
        <v>290</v>
      </c>
      <c r="E93" s="124">
        <v>6800</v>
      </c>
      <c r="G93" s="544"/>
      <c r="H93" s="544"/>
      <c r="I93" s="544"/>
    </row>
    <row r="94" spans="1:9" ht="20.100000000000001" customHeight="1" x14ac:dyDescent="0.3">
      <c r="A94" s="121"/>
      <c r="B94" s="122">
        <f t="shared" si="2"/>
        <v>58</v>
      </c>
      <c r="C94" s="122" t="s">
        <v>651</v>
      </c>
      <c r="D94" s="123" t="s">
        <v>290</v>
      </c>
      <c r="E94" s="124">
        <v>68700</v>
      </c>
      <c r="G94" s="544"/>
      <c r="H94" s="544"/>
      <c r="I94" s="544"/>
    </row>
    <row r="95" spans="1:9" ht="20.100000000000001" customHeight="1" x14ac:dyDescent="0.3">
      <c r="A95" s="121"/>
      <c r="B95" s="122">
        <f t="shared" si="2"/>
        <v>59</v>
      </c>
      <c r="C95" s="122" t="s">
        <v>297</v>
      </c>
      <c r="D95" s="123" t="s">
        <v>159</v>
      </c>
      <c r="E95" s="567">
        <v>35000</v>
      </c>
      <c r="G95" s="544">
        <f>H95*I95</f>
        <v>59440.500000000007</v>
      </c>
      <c r="H95" s="544">
        <v>53550</v>
      </c>
      <c r="I95" s="544">
        <v>1.1100000000000001</v>
      </c>
    </row>
    <row r="96" spans="1:9" ht="20.100000000000001" customHeight="1" x14ac:dyDescent="0.3">
      <c r="A96" s="121"/>
      <c r="B96" s="122">
        <f t="shared" si="2"/>
        <v>60</v>
      </c>
      <c r="C96" s="122" t="s">
        <v>300</v>
      </c>
      <c r="D96" s="123" t="s">
        <v>248</v>
      </c>
      <c r="E96" s="124">
        <v>5000</v>
      </c>
      <c r="G96" s="544"/>
      <c r="H96" s="544"/>
      <c r="I96" s="544"/>
    </row>
    <row r="97" spans="1:9" ht="20.100000000000001" hidden="1" customHeight="1" x14ac:dyDescent="0.3">
      <c r="A97" s="121"/>
      <c r="B97" s="122">
        <f t="shared" si="2"/>
        <v>61</v>
      </c>
      <c r="C97" s="122" t="s">
        <v>246</v>
      </c>
      <c r="D97" s="123" t="s">
        <v>21</v>
      </c>
      <c r="E97" s="124">
        <v>174000</v>
      </c>
      <c r="G97" s="544"/>
      <c r="H97" s="544"/>
      <c r="I97" s="544"/>
    </row>
    <row r="98" spans="1:9" ht="20.100000000000001" hidden="1" customHeight="1" x14ac:dyDescent="0.3">
      <c r="A98" s="121"/>
      <c r="B98" s="122">
        <f>B97+1</f>
        <v>62</v>
      </c>
      <c r="C98" s="122" t="s">
        <v>138</v>
      </c>
      <c r="D98" s="123" t="s">
        <v>339</v>
      </c>
      <c r="E98" s="124">
        <v>785000</v>
      </c>
      <c r="G98" s="544"/>
      <c r="H98" s="544"/>
      <c r="I98" s="544"/>
    </row>
    <row r="99" spans="1:9" ht="20.100000000000001" hidden="1" customHeight="1" x14ac:dyDescent="0.3">
      <c r="A99" s="121"/>
      <c r="B99" s="122">
        <f t="shared" si="2"/>
        <v>63</v>
      </c>
      <c r="C99" s="122" t="s">
        <v>139</v>
      </c>
      <c r="D99" s="123" t="s">
        <v>21</v>
      </c>
      <c r="E99" s="124">
        <v>150000</v>
      </c>
      <c r="G99" s="544"/>
      <c r="H99" s="544"/>
      <c r="I99" s="544"/>
    </row>
    <row r="100" spans="1:9" ht="20.100000000000001" hidden="1" customHeight="1" x14ac:dyDescent="0.3">
      <c r="A100" s="121"/>
      <c r="B100" s="122"/>
      <c r="C100" s="144" t="s">
        <v>306</v>
      </c>
      <c r="D100" s="123" t="s">
        <v>21</v>
      </c>
      <c r="E100" s="124">
        <v>83850</v>
      </c>
      <c r="G100" s="544"/>
      <c r="H100" s="544"/>
      <c r="I100" s="544"/>
    </row>
    <row r="101" spans="1:9" ht="20.100000000000001" customHeight="1" x14ac:dyDescent="0.3">
      <c r="A101" s="121"/>
      <c r="B101" s="122">
        <f>B99+1</f>
        <v>64</v>
      </c>
      <c r="C101" s="122" t="s">
        <v>670</v>
      </c>
      <c r="D101" s="123" t="s">
        <v>416</v>
      </c>
      <c r="E101" s="124">
        <v>181000</v>
      </c>
      <c r="G101" s="544"/>
      <c r="H101" s="544"/>
      <c r="I101" s="544"/>
    </row>
    <row r="102" spans="1:9" ht="20.100000000000001" customHeight="1" x14ac:dyDescent="0.3">
      <c r="A102" s="121"/>
      <c r="B102" s="122"/>
      <c r="C102" s="122" t="s">
        <v>671</v>
      </c>
      <c r="D102" s="123" t="s">
        <v>336</v>
      </c>
      <c r="E102" s="124">
        <f>ROUNDUP(E101/6,-1)</f>
        <v>30170</v>
      </c>
      <c r="G102" s="544"/>
      <c r="H102" s="544"/>
      <c r="I102" s="544"/>
    </row>
    <row r="103" spans="1:9" ht="20.100000000000001" customHeight="1" x14ac:dyDescent="0.3">
      <c r="A103" s="121"/>
      <c r="B103" s="122">
        <f>B101+1</f>
        <v>65</v>
      </c>
      <c r="C103" s="122" t="s">
        <v>672</v>
      </c>
      <c r="D103" s="123" t="s">
        <v>416</v>
      </c>
      <c r="E103" s="124">
        <v>329000</v>
      </c>
      <c r="G103" s="544"/>
      <c r="H103" s="544"/>
      <c r="I103" s="544"/>
    </row>
    <row r="104" spans="1:9" ht="20.100000000000001" customHeight="1" x14ac:dyDescent="0.3">
      <c r="A104" s="121"/>
      <c r="B104" s="122"/>
      <c r="C104" s="122" t="s">
        <v>673</v>
      </c>
      <c r="D104" s="123" t="s">
        <v>336</v>
      </c>
      <c r="E104" s="124">
        <f>ROUNDUP(E103/6,-1)</f>
        <v>54840</v>
      </c>
      <c r="G104" s="544"/>
      <c r="H104" s="544"/>
      <c r="I104" s="544"/>
    </row>
    <row r="105" spans="1:9" ht="20.100000000000001" customHeight="1" x14ac:dyDescent="0.3">
      <c r="A105" s="121"/>
      <c r="B105" s="122">
        <f>B103+1</f>
        <v>66</v>
      </c>
      <c r="C105" s="144" t="s">
        <v>468</v>
      </c>
      <c r="D105" s="145" t="s">
        <v>176</v>
      </c>
      <c r="E105" s="567">
        <v>7500</v>
      </c>
      <c r="G105" s="544"/>
      <c r="H105" s="544"/>
      <c r="I105" s="544"/>
    </row>
    <row r="106" spans="1:9" ht="20.100000000000001" customHeight="1" x14ac:dyDescent="0.3">
      <c r="A106" s="121"/>
      <c r="B106" s="122">
        <f>B105+1</f>
        <v>67</v>
      </c>
      <c r="C106" s="144" t="s">
        <v>475</v>
      </c>
      <c r="D106" s="145" t="s">
        <v>176</v>
      </c>
      <c r="E106" s="124">
        <f>250000/4</f>
        <v>62500</v>
      </c>
      <c r="G106" s="544"/>
      <c r="H106" s="544"/>
      <c r="I106" s="544"/>
    </row>
    <row r="107" spans="1:9" ht="20.100000000000001" customHeight="1" x14ac:dyDescent="0.3">
      <c r="A107" s="121"/>
      <c r="B107" s="122">
        <f t="shared" ref="B107:B119" si="3">B106+1</f>
        <v>68</v>
      </c>
      <c r="C107" s="144" t="s">
        <v>469</v>
      </c>
      <c r="D107" s="145" t="s">
        <v>176</v>
      </c>
      <c r="E107" s="567">
        <v>125000</v>
      </c>
      <c r="G107" s="544"/>
      <c r="H107" s="544"/>
      <c r="I107" s="544"/>
    </row>
    <row r="108" spans="1:9" ht="20.100000000000001" customHeight="1" x14ac:dyDescent="0.3">
      <c r="A108" s="121"/>
      <c r="B108" s="122">
        <f t="shared" si="3"/>
        <v>69</v>
      </c>
      <c r="C108" s="144" t="s">
        <v>311</v>
      </c>
      <c r="D108" s="145" t="s">
        <v>159</v>
      </c>
      <c r="E108" s="124">
        <v>180000</v>
      </c>
      <c r="G108" s="544"/>
      <c r="H108" s="544"/>
      <c r="I108" s="544"/>
    </row>
    <row r="109" spans="1:9" ht="20.100000000000001" customHeight="1" x14ac:dyDescent="0.3">
      <c r="A109" s="121"/>
      <c r="B109" s="122">
        <f t="shared" si="3"/>
        <v>70</v>
      </c>
      <c r="C109" s="144" t="s">
        <v>604</v>
      </c>
      <c r="D109" s="145" t="s">
        <v>159</v>
      </c>
      <c r="E109" s="124">
        <v>248000</v>
      </c>
      <c r="G109" s="544"/>
      <c r="H109" s="544"/>
      <c r="I109" s="544"/>
    </row>
    <row r="110" spans="1:9" ht="32.25" customHeight="1" x14ac:dyDescent="0.3">
      <c r="A110" s="121"/>
      <c r="B110" s="122">
        <f t="shared" si="3"/>
        <v>71</v>
      </c>
      <c r="C110" s="664" t="s">
        <v>617</v>
      </c>
      <c r="D110" s="145" t="s">
        <v>159</v>
      </c>
      <c r="E110" s="124">
        <v>67500</v>
      </c>
      <c r="G110" s="544"/>
      <c r="H110" s="544"/>
      <c r="I110" s="544"/>
    </row>
    <row r="111" spans="1:9" ht="49.5" customHeight="1" x14ac:dyDescent="0.3">
      <c r="A111" s="121"/>
      <c r="B111" s="122">
        <f t="shared" si="3"/>
        <v>72</v>
      </c>
      <c r="C111" s="664" t="s">
        <v>618</v>
      </c>
      <c r="D111" s="145" t="s">
        <v>236</v>
      </c>
      <c r="E111" s="124">
        <v>1859000</v>
      </c>
      <c r="G111" s="544"/>
      <c r="H111" s="544"/>
      <c r="I111" s="544"/>
    </row>
    <row r="112" spans="1:9" ht="49.5" customHeight="1" x14ac:dyDescent="0.3">
      <c r="A112" s="121"/>
      <c r="B112" s="122">
        <f t="shared" si="3"/>
        <v>73</v>
      </c>
      <c r="C112" s="664" t="s">
        <v>619</v>
      </c>
      <c r="D112" s="145" t="s">
        <v>236</v>
      </c>
      <c r="E112" s="124">
        <v>8908900</v>
      </c>
      <c r="G112" s="544"/>
      <c r="H112" s="544"/>
      <c r="I112" s="544"/>
    </row>
    <row r="113" spans="1:9" ht="49.5" customHeight="1" x14ac:dyDescent="0.3">
      <c r="A113" s="121"/>
      <c r="B113" s="122">
        <f t="shared" si="3"/>
        <v>74</v>
      </c>
      <c r="C113" s="664" t="s">
        <v>620</v>
      </c>
      <c r="D113" s="145" t="s">
        <v>236</v>
      </c>
      <c r="E113" s="124">
        <v>13185000</v>
      </c>
      <c r="G113" s="544"/>
      <c r="H113" s="544"/>
      <c r="I113" s="544"/>
    </row>
    <row r="114" spans="1:9" ht="20.100000000000001" customHeight="1" x14ac:dyDescent="0.3">
      <c r="A114" s="121"/>
      <c r="B114" s="122">
        <f t="shared" si="3"/>
        <v>75</v>
      </c>
      <c r="C114" s="144" t="s">
        <v>312</v>
      </c>
      <c r="D114" s="145" t="s">
        <v>159</v>
      </c>
      <c r="E114" s="124">
        <v>7600</v>
      </c>
      <c r="G114" s="544"/>
      <c r="H114" s="544"/>
      <c r="I114" s="544"/>
    </row>
    <row r="115" spans="1:9" ht="20.100000000000001" hidden="1" customHeight="1" x14ac:dyDescent="0.3">
      <c r="A115" s="121"/>
      <c r="B115" s="122">
        <f t="shared" si="3"/>
        <v>76</v>
      </c>
      <c r="C115" s="144" t="s">
        <v>467</v>
      </c>
      <c r="D115" s="145" t="s">
        <v>159</v>
      </c>
      <c r="E115" s="124">
        <v>210000</v>
      </c>
      <c r="G115" s="544"/>
      <c r="H115" s="544"/>
      <c r="I115" s="544"/>
    </row>
    <row r="116" spans="1:9" ht="20.100000000000001" hidden="1" customHeight="1" x14ac:dyDescent="0.3">
      <c r="A116" s="121"/>
      <c r="B116" s="122">
        <f t="shared" si="3"/>
        <v>77</v>
      </c>
      <c r="C116" s="144" t="s">
        <v>495</v>
      </c>
      <c r="D116" s="145" t="s">
        <v>236</v>
      </c>
      <c r="E116" s="124">
        <v>1000000</v>
      </c>
      <c r="G116" s="544"/>
      <c r="H116" s="544"/>
      <c r="I116" s="544"/>
    </row>
    <row r="117" spans="1:9" ht="20.100000000000001" hidden="1" customHeight="1" x14ac:dyDescent="0.3">
      <c r="A117" s="121"/>
      <c r="B117" s="122">
        <f t="shared" si="3"/>
        <v>78</v>
      </c>
      <c r="C117" s="144" t="s">
        <v>496</v>
      </c>
      <c r="D117" s="145" t="s">
        <v>236</v>
      </c>
      <c r="E117" s="124">
        <v>380000</v>
      </c>
      <c r="G117" s="544"/>
      <c r="H117" s="544"/>
      <c r="I117" s="544"/>
    </row>
    <row r="118" spans="1:9" ht="20.100000000000001" hidden="1" customHeight="1" x14ac:dyDescent="0.3">
      <c r="A118" s="121"/>
      <c r="B118" s="122">
        <f t="shared" si="3"/>
        <v>79</v>
      </c>
      <c r="C118" s="144" t="s">
        <v>503</v>
      </c>
      <c r="D118" s="145" t="s">
        <v>236</v>
      </c>
      <c r="E118" s="124">
        <v>126000</v>
      </c>
      <c r="G118" s="544"/>
      <c r="H118" s="544"/>
      <c r="I118" s="544"/>
    </row>
    <row r="119" spans="1:9" ht="20.100000000000001" hidden="1" customHeight="1" x14ac:dyDescent="0.3">
      <c r="A119" s="121"/>
      <c r="B119" s="122">
        <f t="shared" si="3"/>
        <v>80</v>
      </c>
      <c r="C119" s="144" t="s">
        <v>142</v>
      </c>
      <c r="D119" s="145" t="s">
        <v>18</v>
      </c>
      <c r="E119" s="371">
        <v>2623700</v>
      </c>
      <c r="G119" s="544"/>
      <c r="H119" s="544"/>
      <c r="I119" s="544"/>
    </row>
    <row r="120" spans="1:9" ht="20.100000000000001" hidden="1" customHeight="1" x14ac:dyDescent="0.3">
      <c r="A120" s="121"/>
      <c r="B120" s="122">
        <f t="shared" ref="B120:B154" si="4">B119+1</f>
        <v>81</v>
      </c>
      <c r="C120" s="122" t="s">
        <v>162</v>
      </c>
      <c r="D120" s="123" t="s">
        <v>67</v>
      </c>
      <c r="E120" s="371">
        <f>G120+(G120*5%)</f>
        <v>10384.5</v>
      </c>
      <c r="G120" s="544">
        <v>9890</v>
      </c>
      <c r="H120" s="544"/>
      <c r="I120" s="544"/>
    </row>
    <row r="121" spans="1:9" ht="20.100000000000001" customHeight="1" x14ac:dyDescent="0.3">
      <c r="A121" s="121"/>
      <c r="B121" s="122">
        <f t="shared" si="4"/>
        <v>82</v>
      </c>
      <c r="C121" s="122" t="s">
        <v>163</v>
      </c>
      <c r="D121" s="123" t="s">
        <v>213</v>
      </c>
      <c r="E121" s="371">
        <v>32000</v>
      </c>
      <c r="G121" s="544"/>
      <c r="H121" s="544"/>
      <c r="I121" s="544"/>
    </row>
    <row r="122" spans="1:9" ht="20.100000000000001" customHeight="1" x14ac:dyDescent="0.3">
      <c r="A122" s="135"/>
      <c r="B122" s="122">
        <f>B121+1</f>
        <v>83</v>
      </c>
      <c r="C122" s="122" t="s">
        <v>163</v>
      </c>
      <c r="D122" s="123" t="s">
        <v>45</v>
      </c>
      <c r="E122" s="682">
        <v>500</v>
      </c>
      <c r="G122" s="544">
        <v>385</v>
      </c>
      <c r="H122" s="544"/>
      <c r="I122" s="544"/>
    </row>
    <row r="123" spans="1:9" ht="20.100000000000001" customHeight="1" x14ac:dyDescent="0.3">
      <c r="A123" s="121"/>
      <c r="B123" s="122">
        <f t="shared" si="4"/>
        <v>84</v>
      </c>
      <c r="C123" s="368" t="s">
        <v>321</v>
      </c>
      <c r="D123" s="123" t="s">
        <v>248</v>
      </c>
      <c r="E123" s="372">
        <v>102800</v>
      </c>
      <c r="G123" s="544"/>
      <c r="H123" s="544"/>
      <c r="I123" s="544"/>
    </row>
    <row r="124" spans="1:9" ht="20.100000000000001" customHeight="1" x14ac:dyDescent="0.3">
      <c r="A124" s="121"/>
      <c r="B124" s="122">
        <f t="shared" si="4"/>
        <v>85</v>
      </c>
      <c r="C124" s="368" t="s">
        <v>325</v>
      </c>
      <c r="D124" s="123" t="s">
        <v>248</v>
      </c>
      <c r="E124" s="372">
        <v>103000</v>
      </c>
      <c r="G124" s="544"/>
      <c r="H124" s="544"/>
      <c r="I124" s="544"/>
    </row>
    <row r="125" spans="1:9" x14ac:dyDescent="0.3">
      <c r="A125" s="366"/>
      <c r="B125" s="136">
        <f>B124+1</f>
        <v>86</v>
      </c>
      <c r="C125" s="368" t="s">
        <v>225</v>
      </c>
      <c r="D125" s="123" t="s">
        <v>25</v>
      </c>
      <c r="E125" s="372">
        <v>23000</v>
      </c>
      <c r="G125" s="544"/>
      <c r="H125" s="544"/>
      <c r="I125" s="544"/>
    </row>
    <row r="126" spans="1:9" x14ac:dyDescent="0.3">
      <c r="A126" s="366"/>
      <c r="B126" s="122">
        <f t="shared" si="4"/>
        <v>87</v>
      </c>
      <c r="C126" s="367" t="s">
        <v>217</v>
      </c>
      <c r="D126" s="369" t="s">
        <v>67</v>
      </c>
      <c r="E126" s="373">
        <v>12500</v>
      </c>
      <c r="G126" s="544"/>
      <c r="H126" s="544"/>
      <c r="I126" s="544"/>
    </row>
    <row r="127" spans="1:9" x14ac:dyDescent="0.3">
      <c r="A127" s="366"/>
      <c r="B127" s="122">
        <f t="shared" si="4"/>
        <v>88</v>
      </c>
      <c r="C127" s="367" t="s">
        <v>218</v>
      </c>
      <c r="D127" s="369" t="s">
        <v>20</v>
      </c>
      <c r="E127" s="373">
        <v>14000</v>
      </c>
      <c r="G127" s="544"/>
      <c r="H127" s="544"/>
      <c r="I127" s="544"/>
    </row>
    <row r="128" spans="1:9" x14ac:dyDescent="0.3">
      <c r="A128" s="366"/>
      <c r="B128" s="122">
        <f t="shared" si="4"/>
        <v>89</v>
      </c>
      <c r="C128" s="367" t="s">
        <v>219</v>
      </c>
      <c r="D128" s="369" t="s">
        <v>20</v>
      </c>
      <c r="E128" s="373">
        <v>2800</v>
      </c>
      <c r="G128" s="544"/>
      <c r="H128" s="544"/>
      <c r="I128" s="544"/>
    </row>
    <row r="129" spans="1:9" x14ac:dyDescent="0.3">
      <c r="A129" s="366"/>
      <c r="B129" s="122">
        <f t="shared" si="4"/>
        <v>90</v>
      </c>
      <c r="C129" s="367" t="s">
        <v>220</v>
      </c>
      <c r="D129" s="369" t="s">
        <v>20</v>
      </c>
      <c r="E129" s="373">
        <v>4500</v>
      </c>
      <c r="G129" s="544"/>
      <c r="H129" s="544"/>
      <c r="I129" s="544"/>
    </row>
    <row r="130" spans="1:9" x14ac:dyDescent="0.3">
      <c r="A130" s="374"/>
      <c r="B130" s="122">
        <f t="shared" si="4"/>
        <v>91</v>
      </c>
      <c r="C130" s="367" t="s">
        <v>221</v>
      </c>
      <c r="D130" s="369" t="s">
        <v>20</v>
      </c>
      <c r="E130" s="373">
        <v>3790</v>
      </c>
      <c r="G130" s="544"/>
      <c r="H130" s="544"/>
      <c r="I130" s="544"/>
    </row>
    <row r="131" spans="1:9" x14ac:dyDescent="0.3">
      <c r="A131" s="374"/>
      <c r="B131" s="122">
        <f t="shared" si="4"/>
        <v>92</v>
      </c>
      <c r="C131" s="367" t="s">
        <v>222</v>
      </c>
      <c r="D131" s="369" t="s">
        <v>20</v>
      </c>
      <c r="E131" s="373">
        <v>21000</v>
      </c>
      <c r="G131" s="544"/>
      <c r="H131" s="544"/>
      <c r="I131" s="544"/>
    </row>
    <row r="132" spans="1:9" x14ac:dyDescent="0.3">
      <c r="A132" s="374"/>
      <c r="B132" s="122">
        <f>B131+1</f>
        <v>93</v>
      </c>
      <c r="C132" s="367" t="s">
        <v>223</v>
      </c>
      <c r="D132" s="369" t="s">
        <v>20</v>
      </c>
      <c r="E132" s="373">
        <v>53000</v>
      </c>
      <c r="G132" s="544"/>
      <c r="H132" s="544"/>
      <c r="I132" s="544"/>
    </row>
    <row r="133" spans="1:9" hidden="1" x14ac:dyDescent="0.3">
      <c r="A133" s="374"/>
      <c r="B133" s="122">
        <f t="shared" si="4"/>
        <v>94</v>
      </c>
      <c r="C133" s="367" t="s">
        <v>226</v>
      </c>
      <c r="D133" s="369" t="s">
        <v>20</v>
      </c>
      <c r="E133" s="371">
        <v>74000</v>
      </c>
      <c r="G133" s="156">
        <v>80000</v>
      </c>
    </row>
    <row r="134" spans="1:9" hidden="1" x14ac:dyDescent="0.3">
      <c r="A134" s="374"/>
      <c r="B134" s="122">
        <f t="shared" si="4"/>
        <v>95</v>
      </c>
      <c r="C134" s="367" t="s">
        <v>350</v>
      </c>
      <c r="D134" s="369" t="s">
        <v>20</v>
      </c>
      <c r="E134" s="419">
        <v>85000</v>
      </c>
    </row>
    <row r="135" spans="1:9" hidden="1" x14ac:dyDescent="0.3">
      <c r="A135" s="374"/>
      <c r="B135" s="144">
        <f>B134+1</f>
        <v>96</v>
      </c>
      <c r="C135" s="417" t="s">
        <v>227</v>
      </c>
      <c r="D135" s="418" t="s">
        <v>20</v>
      </c>
      <c r="E135" s="419">
        <f>G135+(G135*5%)</f>
        <v>39900</v>
      </c>
      <c r="G135" s="156">
        <v>38000</v>
      </c>
    </row>
    <row r="136" spans="1:9" hidden="1" x14ac:dyDescent="0.3">
      <c r="A136" s="374"/>
      <c r="B136" s="144">
        <f>B135+1</f>
        <v>97</v>
      </c>
      <c r="C136" s="417" t="s">
        <v>465</v>
      </c>
      <c r="D136" s="418" t="s">
        <v>20</v>
      </c>
      <c r="E136" s="419">
        <v>78000</v>
      </c>
      <c r="G136" s="156">
        <f>E136*30%</f>
        <v>23400</v>
      </c>
      <c r="H136" s="156">
        <f>E136+G136</f>
        <v>101400</v>
      </c>
    </row>
    <row r="137" spans="1:9" hidden="1" x14ac:dyDescent="0.3">
      <c r="A137" s="374"/>
      <c r="B137" s="144">
        <f>B136+1</f>
        <v>98</v>
      </c>
      <c r="C137" s="417" t="s">
        <v>466</v>
      </c>
      <c r="D137" s="418" t="s">
        <v>20</v>
      </c>
      <c r="E137" s="419">
        <v>129500</v>
      </c>
    </row>
    <row r="138" spans="1:9" hidden="1" x14ac:dyDescent="0.3">
      <c r="A138" s="374"/>
      <c r="B138" s="122">
        <f>B137+1</f>
        <v>99</v>
      </c>
      <c r="C138" s="367" t="s">
        <v>228</v>
      </c>
      <c r="D138" s="369" t="s">
        <v>20</v>
      </c>
      <c r="E138" s="371">
        <v>188850</v>
      </c>
    </row>
    <row r="139" spans="1:9" hidden="1" x14ac:dyDescent="0.3">
      <c r="A139" s="374"/>
      <c r="B139" s="122">
        <f t="shared" si="4"/>
        <v>100</v>
      </c>
      <c r="C139" s="420" t="s">
        <v>274</v>
      </c>
      <c r="D139" s="369" t="s">
        <v>236</v>
      </c>
      <c r="E139" s="371">
        <v>58000</v>
      </c>
    </row>
    <row r="140" spans="1:9" hidden="1" x14ac:dyDescent="0.3">
      <c r="A140" s="374"/>
      <c r="B140" s="122">
        <f t="shared" si="4"/>
        <v>101</v>
      </c>
      <c r="C140" s="420" t="s">
        <v>277</v>
      </c>
      <c r="D140" s="369" t="s">
        <v>159</v>
      </c>
      <c r="E140" s="371">
        <v>200000</v>
      </c>
    </row>
    <row r="141" spans="1:9" hidden="1" x14ac:dyDescent="0.3">
      <c r="A141" s="374"/>
      <c r="B141" s="122">
        <f t="shared" si="4"/>
        <v>102</v>
      </c>
      <c r="C141" s="420" t="s">
        <v>278</v>
      </c>
      <c r="D141" s="369" t="s">
        <v>159</v>
      </c>
      <c r="E141" s="371">
        <v>358000</v>
      </c>
    </row>
    <row r="142" spans="1:9" hidden="1" x14ac:dyDescent="0.3">
      <c r="A142" s="374"/>
      <c r="B142" s="122">
        <f t="shared" si="4"/>
        <v>103</v>
      </c>
      <c r="C142" s="420" t="s">
        <v>279</v>
      </c>
      <c r="D142" s="369" t="s">
        <v>159</v>
      </c>
      <c r="E142" s="371">
        <v>5800000</v>
      </c>
    </row>
    <row r="143" spans="1:9" hidden="1" x14ac:dyDescent="0.3">
      <c r="A143" s="374"/>
      <c r="B143" s="122">
        <f t="shared" si="4"/>
        <v>104</v>
      </c>
      <c r="C143" s="420" t="s">
        <v>340</v>
      </c>
      <c r="D143" s="369" t="s">
        <v>349</v>
      </c>
      <c r="E143" s="371">
        <v>20000</v>
      </c>
    </row>
    <row r="144" spans="1:9" x14ac:dyDescent="0.3">
      <c r="A144" s="374"/>
      <c r="B144" s="122">
        <f t="shared" si="4"/>
        <v>105</v>
      </c>
      <c r="C144" s="420" t="s">
        <v>505</v>
      </c>
      <c r="D144" s="369" t="s">
        <v>159</v>
      </c>
      <c r="E144" s="371">
        <v>8000</v>
      </c>
    </row>
    <row r="145" spans="1:5" ht="16.2" x14ac:dyDescent="0.3">
      <c r="A145" s="374"/>
      <c r="B145" s="122">
        <f t="shared" si="4"/>
        <v>106</v>
      </c>
      <c r="C145" s="420" t="s">
        <v>341</v>
      </c>
      <c r="D145" s="123" t="s">
        <v>339</v>
      </c>
      <c r="E145" s="371">
        <v>480000</v>
      </c>
    </row>
    <row r="146" spans="1:5" ht="16.2" x14ac:dyDescent="0.3">
      <c r="A146" s="374"/>
      <c r="B146" s="122">
        <f t="shared" si="4"/>
        <v>107</v>
      </c>
      <c r="C146" s="420" t="s">
        <v>342</v>
      </c>
      <c r="D146" s="123" t="s">
        <v>336</v>
      </c>
      <c r="E146" s="371">
        <v>100000</v>
      </c>
    </row>
    <row r="147" spans="1:5" ht="16.2" x14ac:dyDescent="0.3">
      <c r="A147" s="374"/>
      <c r="B147" s="122">
        <f t="shared" si="4"/>
        <v>108</v>
      </c>
      <c r="C147" s="420" t="s">
        <v>343</v>
      </c>
      <c r="D147" s="123" t="s">
        <v>336</v>
      </c>
      <c r="E147" s="371">
        <v>125000</v>
      </c>
    </row>
    <row r="148" spans="1:5" ht="16.2" x14ac:dyDescent="0.3">
      <c r="A148" s="374"/>
      <c r="B148" s="122">
        <f t="shared" si="4"/>
        <v>109</v>
      </c>
      <c r="C148" s="420" t="s">
        <v>344</v>
      </c>
      <c r="D148" s="123" t="s">
        <v>336</v>
      </c>
      <c r="E148" s="371">
        <v>185000</v>
      </c>
    </row>
    <row r="149" spans="1:5" ht="16.2" x14ac:dyDescent="0.3">
      <c r="A149" s="374"/>
      <c r="B149" s="122">
        <f t="shared" si="4"/>
        <v>110</v>
      </c>
      <c r="C149" s="420" t="s">
        <v>345</v>
      </c>
      <c r="D149" s="123" t="s">
        <v>336</v>
      </c>
      <c r="E149" s="371">
        <v>205000</v>
      </c>
    </row>
    <row r="150" spans="1:5" ht="16.2" x14ac:dyDescent="0.3">
      <c r="A150" s="374"/>
      <c r="B150" s="122">
        <f t="shared" si="4"/>
        <v>111</v>
      </c>
      <c r="C150" s="420" t="s">
        <v>346</v>
      </c>
      <c r="D150" s="123" t="s">
        <v>336</v>
      </c>
      <c r="E150" s="371">
        <v>105000</v>
      </c>
    </row>
    <row r="151" spans="1:5" ht="16.2" x14ac:dyDescent="0.3">
      <c r="A151" s="374"/>
      <c r="B151" s="122">
        <f t="shared" si="4"/>
        <v>112</v>
      </c>
      <c r="C151" s="420" t="s">
        <v>347</v>
      </c>
      <c r="D151" s="123" t="s">
        <v>336</v>
      </c>
      <c r="E151" s="371">
        <v>152500</v>
      </c>
    </row>
    <row r="152" spans="1:5" ht="16.2" x14ac:dyDescent="0.3">
      <c r="A152" s="374"/>
      <c r="B152" s="122">
        <f t="shared" si="4"/>
        <v>113</v>
      </c>
      <c r="C152" s="420" t="s">
        <v>337</v>
      </c>
      <c r="D152" s="123" t="s">
        <v>336</v>
      </c>
      <c r="E152" s="371">
        <v>98000</v>
      </c>
    </row>
    <row r="153" spans="1:5" ht="16.2" x14ac:dyDescent="0.3">
      <c r="A153" s="374"/>
      <c r="B153" s="122">
        <f t="shared" si="4"/>
        <v>114</v>
      </c>
      <c r="C153" s="420" t="s">
        <v>338</v>
      </c>
      <c r="D153" s="123" t="s">
        <v>336</v>
      </c>
      <c r="E153" s="371">
        <v>78500</v>
      </c>
    </row>
    <row r="154" spans="1:5" ht="16.2" x14ac:dyDescent="0.3">
      <c r="A154" s="374"/>
      <c r="B154" s="122">
        <f t="shared" si="4"/>
        <v>115</v>
      </c>
      <c r="C154" s="420" t="s">
        <v>348</v>
      </c>
      <c r="D154" s="123" t="s">
        <v>339</v>
      </c>
      <c r="E154" s="371">
        <v>850000</v>
      </c>
    </row>
    <row r="155" spans="1:5" ht="15" thickBot="1" x14ac:dyDescent="0.35">
      <c r="A155" s="375"/>
      <c r="B155" s="421"/>
      <c r="C155" s="421"/>
      <c r="D155" s="370"/>
      <c r="E155" s="422"/>
    </row>
    <row r="156" spans="1:5" ht="15" thickTop="1" x14ac:dyDescent="0.3"/>
  </sheetData>
  <mergeCells count="2">
    <mergeCell ref="B2:C2"/>
    <mergeCell ref="A1:E1"/>
  </mergeCells>
  <pageMargins left="1.1811023622047245" right="0.70866141732283472" top="0.55118110236220474" bottom="0.15748031496062992" header="0.31496062992125984" footer="0.31496062992125984"/>
  <pageSetup paperSize="9" scale="85" orientation="portrait" r:id="rId1"/>
  <rowBreaks count="2" manualBreakCount="2">
    <brk id="45" max="4" man="1"/>
    <brk id="71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A2C25-55D0-4042-B03E-CABC926848A7}">
  <dimension ref="A1:M145"/>
  <sheetViews>
    <sheetView view="pageBreakPreview" topLeftCell="A112" zoomScaleNormal="100" zoomScaleSheetLayoutView="100" workbookViewId="0">
      <selection activeCell="I141" sqref="I141"/>
    </sheetView>
  </sheetViews>
  <sheetFormatPr defaultRowHeight="14.4" x14ac:dyDescent="0.3"/>
  <cols>
    <col min="1" max="1" width="5.33203125" style="73" customWidth="1"/>
    <col min="2" max="2" width="4.6640625" style="72" customWidth="1"/>
    <col min="3" max="3" width="46" style="72" customWidth="1"/>
    <col min="4" max="4" width="10.6640625" style="73" customWidth="1"/>
    <col min="5" max="5" width="20.6640625" style="72" customWidth="1"/>
    <col min="7" max="7" width="11.6640625" style="156" bestFit="1" customWidth="1"/>
    <col min="8" max="8" width="13.33203125" style="156" customWidth="1"/>
    <col min="9" max="9" width="10.5546875" style="156" customWidth="1"/>
    <col min="11" max="11" width="11.5546875" bestFit="1" customWidth="1"/>
    <col min="12" max="12" width="10.5546875" bestFit="1" customWidth="1"/>
    <col min="13" max="13" width="11.5546875" bestFit="1" customWidth="1"/>
  </cols>
  <sheetData>
    <row r="1" spans="1:9" ht="23.4" thickBot="1" x14ac:dyDescent="0.35">
      <c r="A1" s="892" t="s">
        <v>37</v>
      </c>
      <c r="B1" s="892"/>
      <c r="C1" s="892"/>
      <c r="D1" s="892"/>
      <c r="E1" s="892"/>
    </row>
    <row r="2" spans="1:9" ht="42.75" customHeight="1" thickTop="1" thickBot="1" x14ac:dyDescent="0.35">
      <c r="A2" s="149" t="s">
        <v>26</v>
      </c>
      <c r="B2" s="891" t="s">
        <v>38</v>
      </c>
      <c r="C2" s="891"/>
      <c r="D2" s="150" t="s">
        <v>29</v>
      </c>
      <c r="E2" s="151" t="s">
        <v>148</v>
      </c>
      <c r="G2" s="545" t="s">
        <v>408</v>
      </c>
      <c r="H2" s="545" t="s">
        <v>407</v>
      </c>
      <c r="I2" s="543" t="s">
        <v>409</v>
      </c>
    </row>
    <row r="3" spans="1:9" ht="20.100000000000001" customHeight="1" x14ac:dyDescent="0.3">
      <c r="A3" s="116" t="s">
        <v>32</v>
      </c>
      <c r="B3" s="117" t="s">
        <v>39</v>
      </c>
      <c r="C3" s="118"/>
      <c r="D3" s="119"/>
      <c r="E3" s="120"/>
      <c r="G3" s="544"/>
      <c r="H3" s="544"/>
      <c r="I3" s="544"/>
    </row>
    <row r="4" spans="1:9" ht="20.100000000000001" customHeight="1" x14ac:dyDescent="0.3">
      <c r="A4" s="121"/>
      <c r="B4" s="122">
        <v>1</v>
      </c>
      <c r="C4" s="122" t="s">
        <v>40</v>
      </c>
      <c r="D4" s="123" t="s">
        <v>7</v>
      </c>
      <c r="E4" s="124">
        <v>125000</v>
      </c>
      <c r="G4" s="544">
        <f>H4*I4</f>
        <v>120046.50000000001</v>
      </c>
      <c r="H4" s="544">
        <v>108150</v>
      </c>
      <c r="I4" s="544">
        <v>1.1100000000000001</v>
      </c>
    </row>
    <row r="5" spans="1:9" ht="20.100000000000001" customHeight="1" x14ac:dyDescent="0.3">
      <c r="A5" s="121"/>
      <c r="B5" s="122">
        <v>2</v>
      </c>
      <c r="C5" s="122" t="s">
        <v>41</v>
      </c>
      <c r="D5" s="123" t="s">
        <v>7</v>
      </c>
      <c r="E5" s="124">
        <v>160000</v>
      </c>
      <c r="G5" s="544">
        <f>H5*I5</f>
        <v>184593.00000000003</v>
      </c>
      <c r="H5" s="544">
        <v>166300</v>
      </c>
      <c r="I5" s="544">
        <v>1.1100000000000001</v>
      </c>
    </row>
    <row r="6" spans="1:9" ht="20.100000000000001" customHeight="1" x14ac:dyDescent="0.3">
      <c r="A6" s="121"/>
      <c r="B6" s="122">
        <v>3</v>
      </c>
      <c r="C6" s="122" t="s">
        <v>33</v>
      </c>
      <c r="D6" s="123" t="s">
        <v>7</v>
      </c>
      <c r="E6" s="124">
        <v>180000</v>
      </c>
      <c r="G6" s="544">
        <f>H6*I6</f>
        <v>227106.00000000003</v>
      </c>
      <c r="H6" s="544">
        <v>204600</v>
      </c>
      <c r="I6" s="544">
        <v>1.1100000000000001</v>
      </c>
    </row>
    <row r="7" spans="1:9" ht="20.100000000000001" customHeight="1" x14ac:dyDescent="0.3">
      <c r="A7" s="121"/>
      <c r="B7" s="122">
        <v>4</v>
      </c>
      <c r="C7" s="122" t="s">
        <v>42</v>
      </c>
      <c r="D7" s="123" t="s">
        <v>7</v>
      </c>
      <c r="E7" s="124">
        <v>175000</v>
      </c>
      <c r="G7" s="544">
        <f>H7*I7</f>
        <v>193806.00000000003</v>
      </c>
      <c r="H7" s="544">
        <v>174600</v>
      </c>
      <c r="I7" s="544">
        <v>1.1100000000000001</v>
      </c>
    </row>
    <row r="8" spans="1:9" ht="20.100000000000001" customHeight="1" thickBot="1" x14ac:dyDescent="0.35">
      <c r="A8" s="125"/>
      <c r="B8" s="126"/>
      <c r="C8" s="126"/>
      <c r="D8" s="127"/>
      <c r="E8" s="128"/>
      <c r="G8" s="544"/>
      <c r="H8" s="544"/>
      <c r="I8" s="544"/>
    </row>
    <row r="9" spans="1:9" ht="20.100000000000001" customHeight="1" x14ac:dyDescent="0.3">
      <c r="A9" s="129" t="s">
        <v>43</v>
      </c>
      <c r="B9" s="130" t="s">
        <v>44</v>
      </c>
      <c r="C9" s="131"/>
      <c r="D9" s="132"/>
      <c r="E9" s="133"/>
      <c r="G9" s="544"/>
      <c r="H9" s="544"/>
      <c r="I9" s="544"/>
    </row>
    <row r="10" spans="1:9" ht="20.100000000000001" customHeight="1" x14ac:dyDescent="0.3">
      <c r="A10" s="121"/>
      <c r="B10" s="122">
        <v>1</v>
      </c>
      <c r="C10" s="122" t="s">
        <v>75</v>
      </c>
      <c r="D10" s="123" t="s">
        <v>59</v>
      </c>
      <c r="E10" s="124">
        <v>280000</v>
      </c>
      <c r="G10" s="544">
        <f>H10*I10</f>
        <v>439810</v>
      </c>
      <c r="H10" s="544">
        <v>427000</v>
      </c>
      <c r="I10" s="544">
        <v>1.03</v>
      </c>
    </row>
    <row r="11" spans="1:9" ht="20.100000000000001" customHeight="1" x14ac:dyDescent="0.3">
      <c r="A11" s="121"/>
      <c r="B11" s="122">
        <f>+B10+1</f>
        <v>2</v>
      </c>
      <c r="C11" s="122" t="s">
        <v>82</v>
      </c>
      <c r="D11" s="123" t="s">
        <v>59</v>
      </c>
      <c r="E11" s="124">
        <v>180000</v>
      </c>
      <c r="G11" s="544">
        <f>H11*I11</f>
        <v>161195</v>
      </c>
      <c r="H11" s="544">
        <v>156500</v>
      </c>
      <c r="I11" s="544">
        <v>1.03</v>
      </c>
    </row>
    <row r="12" spans="1:9" ht="20.100000000000001" customHeight="1" x14ac:dyDescent="0.3">
      <c r="A12" s="121"/>
      <c r="B12" s="122">
        <f>+B11+1</f>
        <v>3</v>
      </c>
      <c r="C12" s="122" t="s">
        <v>411</v>
      </c>
      <c r="D12" s="123" t="s">
        <v>91</v>
      </c>
      <c r="E12" s="124">
        <v>80000</v>
      </c>
      <c r="G12" s="544">
        <f>H12*I12</f>
        <v>88800.000000000015</v>
      </c>
      <c r="H12" s="544">
        <v>80000</v>
      </c>
      <c r="I12" s="544">
        <v>1.1100000000000001</v>
      </c>
    </row>
    <row r="13" spans="1:9" ht="20.100000000000001" customHeight="1" x14ac:dyDescent="0.3">
      <c r="A13" s="121"/>
      <c r="B13" s="122"/>
      <c r="C13" s="122"/>
      <c r="D13" s="123" t="s">
        <v>21</v>
      </c>
      <c r="E13" s="124">
        <f>E12/40</f>
        <v>2000</v>
      </c>
      <c r="G13" s="544"/>
      <c r="H13" s="544"/>
      <c r="I13" s="544"/>
    </row>
    <row r="14" spans="1:9" ht="20.100000000000001" customHeight="1" x14ac:dyDescent="0.3">
      <c r="A14" s="121"/>
      <c r="B14" s="122">
        <f>B12+1</f>
        <v>4</v>
      </c>
      <c r="C14" s="122" t="s">
        <v>333</v>
      </c>
      <c r="D14" s="123" t="s">
        <v>21</v>
      </c>
      <c r="E14" s="124">
        <v>59000</v>
      </c>
      <c r="G14" s="544"/>
      <c r="H14" s="544"/>
      <c r="I14" s="544"/>
    </row>
    <row r="15" spans="1:9" ht="20.100000000000001" customHeight="1" x14ac:dyDescent="0.3">
      <c r="A15" s="121"/>
      <c r="B15" s="122">
        <f>B14+1</f>
        <v>5</v>
      </c>
      <c r="C15" s="122" t="s">
        <v>89</v>
      </c>
      <c r="D15" s="123" t="s">
        <v>59</v>
      </c>
      <c r="E15" s="124">
        <v>210000</v>
      </c>
      <c r="G15" s="544">
        <f>H15*I15</f>
        <v>220890.00000000003</v>
      </c>
      <c r="H15" s="544">
        <v>199000</v>
      </c>
      <c r="I15" s="544">
        <v>1.1100000000000001</v>
      </c>
    </row>
    <row r="16" spans="1:9" ht="20.100000000000001" customHeight="1" x14ac:dyDescent="0.3">
      <c r="A16" s="121"/>
      <c r="B16" s="122"/>
      <c r="C16" s="122"/>
      <c r="D16" s="123" t="s">
        <v>21</v>
      </c>
      <c r="E16" s="134">
        <f>E15/1400</f>
        <v>150</v>
      </c>
      <c r="G16" s="544"/>
      <c r="H16" s="544"/>
      <c r="I16" s="544"/>
    </row>
    <row r="17" spans="1:13" ht="20.100000000000001" customHeight="1" x14ac:dyDescent="0.3">
      <c r="A17" s="121"/>
      <c r="B17" s="122">
        <f>B15+1</f>
        <v>6</v>
      </c>
      <c r="C17" s="122" t="s">
        <v>413</v>
      </c>
      <c r="D17" s="123" t="s">
        <v>59</v>
      </c>
      <c r="E17" s="124">
        <v>385000</v>
      </c>
      <c r="G17" s="544">
        <f>H17*I17</f>
        <v>482040</v>
      </c>
      <c r="H17" s="544">
        <v>468000</v>
      </c>
      <c r="I17" s="544">
        <v>1.03</v>
      </c>
    </row>
    <row r="18" spans="1:13" ht="20.100000000000001" customHeight="1" x14ac:dyDescent="0.3">
      <c r="A18" s="121"/>
      <c r="B18" s="122"/>
      <c r="C18" s="122"/>
      <c r="D18" s="123" t="s">
        <v>21</v>
      </c>
      <c r="E18" s="134">
        <v>270</v>
      </c>
      <c r="G18" s="544"/>
      <c r="H18" s="544"/>
      <c r="I18" s="544"/>
    </row>
    <row r="19" spans="1:13" ht="20.100000000000001" customHeight="1" x14ac:dyDescent="0.3">
      <c r="A19" s="121"/>
      <c r="B19" s="122">
        <f>B17+1</f>
        <v>7</v>
      </c>
      <c r="C19" s="122" t="s">
        <v>92</v>
      </c>
      <c r="D19" s="123" t="s">
        <v>88</v>
      </c>
      <c r="E19" s="124">
        <v>120</v>
      </c>
      <c r="G19" s="544"/>
      <c r="H19" s="544"/>
      <c r="I19" s="544"/>
    </row>
    <row r="20" spans="1:13" ht="20.100000000000001" customHeight="1" x14ac:dyDescent="0.3">
      <c r="A20" s="121"/>
      <c r="B20" s="122">
        <f>B19+1</f>
        <v>8</v>
      </c>
      <c r="C20" s="122" t="s">
        <v>96</v>
      </c>
      <c r="D20" s="123" t="s">
        <v>21</v>
      </c>
      <c r="E20" s="124">
        <v>18000</v>
      </c>
      <c r="G20" s="544">
        <f>H20*I20</f>
        <v>17982</v>
      </c>
      <c r="H20" s="544">
        <v>16200</v>
      </c>
      <c r="I20" s="544">
        <v>1.1100000000000001</v>
      </c>
    </row>
    <row r="21" spans="1:13" ht="20.100000000000001" customHeight="1" x14ac:dyDescent="0.3">
      <c r="A21" s="121"/>
      <c r="B21" s="122">
        <f>B20+1</f>
        <v>9</v>
      </c>
      <c r="C21" s="122" t="s">
        <v>646</v>
      </c>
      <c r="D21" s="123" t="s">
        <v>21</v>
      </c>
      <c r="E21" s="124">
        <v>19200</v>
      </c>
      <c r="G21" s="544">
        <f>H21*I21</f>
        <v>18205</v>
      </c>
      <c r="H21" s="544">
        <v>16550</v>
      </c>
      <c r="I21" s="544">
        <v>1.1000000000000001</v>
      </c>
      <c r="K21" s="666"/>
      <c r="L21" s="666"/>
      <c r="M21" s="666"/>
    </row>
    <row r="22" spans="1:13" ht="20.100000000000001" customHeight="1" x14ac:dyDescent="0.3">
      <c r="A22" s="121"/>
      <c r="B22" s="122">
        <f>B21+1</f>
        <v>10</v>
      </c>
      <c r="C22" s="122" t="s">
        <v>95</v>
      </c>
      <c r="D22" s="123" t="s">
        <v>21</v>
      </c>
      <c r="E22" s="124">
        <v>30000</v>
      </c>
      <c r="G22" s="544">
        <f>H22*I22</f>
        <v>27750.000000000004</v>
      </c>
      <c r="H22" s="544">
        <v>25000</v>
      </c>
      <c r="I22" s="544">
        <v>1.1100000000000001</v>
      </c>
    </row>
    <row r="23" spans="1:13" ht="20.100000000000001" customHeight="1" x14ac:dyDescent="0.3">
      <c r="A23" s="121"/>
      <c r="B23" s="122">
        <f t="shared" ref="B23:B33" si="0">B22+1</f>
        <v>11</v>
      </c>
      <c r="C23" s="122" t="s">
        <v>430</v>
      </c>
      <c r="D23" s="123" t="s">
        <v>21</v>
      </c>
      <c r="E23" s="124">
        <f>166900+32500</f>
        <v>199400</v>
      </c>
      <c r="G23" s="544"/>
      <c r="H23" s="544"/>
      <c r="I23" s="544"/>
      <c r="K23">
        <f>1100000/148</f>
        <v>7432.4324324324325</v>
      </c>
    </row>
    <row r="24" spans="1:13" ht="20.100000000000001" customHeight="1" x14ac:dyDescent="0.3">
      <c r="A24" s="121"/>
      <c r="B24" s="122"/>
      <c r="C24" s="122" t="s">
        <v>430</v>
      </c>
      <c r="D24" s="123" t="s">
        <v>336</v>
      </c>
      <c r="E24" s="124">
        <f>17780+6500</f>
        <v>24280</v>
      </c>
      <c r="G24" s="544"/>
      <c r="H24" s="544"/>
      <c r="I24" s="544"/>
    </row>
    <row r="25" spans="1:13" ht="20.100000000000001" customHeight="1" x14ac:dyDescent="0.3">
      <c r="A25" s="121"/>
      <c r="B25" s="122">
        <f>B23+1</f>
        <v>12</v>
      </c>
      <c r="C25" s="122" t="s">
        <v>432</v>
      </c>
      <c r="D25" s="123" t="s">
        <v>336</v>
      </c>
      <c r="E25" s="124">
        <f>10400+3250</f>
        <v>13650</v>
      </c>
      <c r="G25" s="544"/>
      <c r="H25" s="544"/>
      <c r="I25" s="544"/>
      <c r="K25">
        <f>52000/5</f>
        <v>10400</v>
      </c>
    </row>
    <row r="26" spans="1:13" ht="20.100000000000001" customHeight="1" x14ac:dyDescent="0.3">
      <c r="A26" s="121"/>
      <c r="B26" s="122">
        <f t="shared" si="0"/>
        <v>13</v>
      </c>
      <c r="C26" s="122" t="s">
        <v>420</v>
      </c>
      <c r="D26" s="123" t="s">
        <v>213</v>
      </c>
      <c r="E26" s="124">
        <v>44700</v>
      </c>
      <c r="G26" s="544">
        <f>H26*I26</f>
        <v>44733.000000000007</v>
      </c>
      <c r="H26" s="544">
        <v>40300</v>
      </c>
      <c r="I26" s="544">
        <v>1.1100000000000001</v>
      </c>
    </row>
    <row r="27" spans="1:13" ht="20.100000000000001" customHeight="1" x14ac:dyDescent="0.3">
      <c r="A27" s="121"/>
      <c r="B27" s="122">
        <f>B22+1</f>
        <v>11</v>
      </c>
      <c r="C27" s="122" t="s">
        <v>98</v>
      </c>
      <c r="D27" s="123" t="s">
        <v>59</v>
      </c>
      <c r="E27" s="124">
        <v>5200000</v>
      </c>
      <c r="G27" s="544"/>
      <c r="H27" s="544"/>
      <c r="I27" s="544"/>
    </row>
    <row r="28" spans="1:13" ht="20.100000000000001" customHeight="1" x14ac:dyDescent="0.3">
      <c r="A28" s="121"/>
      <c r="B28" s="122">
        <f t="shared" si="0"/>
        <v>12</v>
      </c>
      <c r="C28" s="122" t="s">
        <v>101</v>
      </c>
      <c r="D28" s="123" t="s">
        <v>21</v>
      </c>
      <c r="E28" s="124">
        <v>25500</v>
      </c>
      <c r="G28" s="544">
        <f>H28*I28</f>
        <v>25530.000000000004</v>
      </c>
      <c r="H28" s="544">
        <v>23000</v>
      </c>
      <c r="I28" s="544">
        <v>1.1100000000000001</v>
      </c>
    </row>
    <row r="29" spans="1:13" ht="20.100000000000001" customHeight="1" x14ac:dyDescent="0.3">
      <c r="A29" s="121"/>
      <c r="B29" s="122">
        <f t="shared" si="0"/>
        <v>13</v>
      </c>
      <c r="C29" s="122" t="s">
        <v>102</v>
      </c>
      <c r="D29" s="123" t="s">
        <v>88</v>
      </c>
      <c r="E29" s="124">
        <v>21000</v>
      </c>
      <c r="G29" s="544"/>
      <c r="H29" s="544"/>
      <c r="I29" s="544"/>
    </row>
    <row r="30" spans="1:13" ht="20.100000000000001" customHeight="1" x14ac:dyDescent="0.3">
      <c r="A30" s="121"/>
      <c r="B30" s="122">
        <f t="shared" si="0"/>
        <v>14</v>
      </c>
      <c r="C30" s="122" t="s">
        <v>104</v>
      </c>
      <c r="D30" s="123" t="s">
        <v>59</v>
      </c>
      <c r="E30" s="124">
        <v>225000</v>
      </c>
      <c r="G30" s="544"/>
      <c r="H30" s="544"/>
      <c r="I30" s="544"/>
    </row>
    <row r="31" spans="1:13" ht="20.100000000000001" customHeight="1" x14ac:dyDescent="0.3">
      <c r="A31" s="121"/>
      <c r="B31" s="122">
        <f t="shared" si="0"/>
        <v>15</v>
      </c>
      <c r="C31" s="122" t="s">
        <v>405</v>
      </c>
      <c r="D31" s="123" t="s">
        <v>20</v>
      </c>
      <c r="E31" s="124">
        <v>1000</v>
      </c>
      <c r="G31" s="544">
        <f>H31*I31</f>
        <v>999.00000000000011</v>
      </c>
      <c r="H31" s="544">
        <v>900</v>
      </c>
      <c r="I31" s="544">
        <v>1.1100000000000001</v>
      </c>
    </row>
    <row r="32" spans="1:13" ht="20.100000000000001" customHeight="1" x14ac:dyDescent="0.3">
      <c r="A32" s="121"/>
      <c r="B32" s="122">
        <f t="shared" si="0"/>
        <v>16</v>
      </c>
      <c r="C32" s="122" t="s">
        <v>406</v>
      </c>
      <c r="D32" s="123" t="s">
        <v>20</v>
      </c>
      <c r="E32" s="124">
        <v>1100</v>
      </c>
      <c r="G32" s="544">
        <f>H32*I32</f>
        <v>1110</v>
      </c>
      <c r="H32" s="544">
        <v>1000</v>
      </c>
      <c r="I32" s="544">
        <v>1.1100000000000001</v>
      </c>
    </row>
    <row r="33" spans="1:9" ht="20.100000000000001" customHeight="1" x14ac:dyDescent="0.3">
      <c r="A33" s="121"/>
      <c r="B33" s="122">
        <f t="shared" si="0"/>
        <v>17</v>
      </c>
      <c r="C33" s="122" t="s">
        <v>112</v>
      </c>
      <c r="D33" s="123" t="s">
        <v>59</v>
      </c>
      <c r="E33" s="124">
        <v>7100000</v>
      </c>
      <c r="G33" s="544"/>
      <c r="H33" s="544"/>
      <c r="I33" s="544"/>
    </row>
    <row r="34" spans="1:9" ht="20.100000000000001" customHeight="1" x14ac:dyDescent="0.3">
      <c r="A34" s="121"/>
      <c r="B34" s="122"/>
      <c r="C34" s="122" t="s">
        <v>245</v>
      </c>
      <c r="D34" s="123" t="s">
        <v>379</v>
      </c>
      <c r="E34" s="124">
        <v>7100000</v>
      </c>
      <c r="G34" s="544"/>
      <c r="H34" s="544"/>
      <c r="I34" s="544"/>
    </row>
    <row r="35" spans="1:9" ht="20.100000000000001" customHeight="1" x14ac:dyDescent="0.3">
      <c r="A35" s="121"/>
      <c r="B35" s="122">
        <f>B33+1</f>
        <v>18</v>
      </c>
      <c r="C35" s="122" t="s">
        <v>684</v>
      </c>
      <c r="D35" s="123" t="s">
        <v>53</v>
      </c>
      <c r="E35" s="124">
        <f>62000+36000</f>
        <v>98000</v>
      </c>
      <c r="G35" s="544"/>
      <c r="H35" s="544"/>
      <c r="I35" s="544"/>
    </row>
    <row r="36" spans="1:9" ht="20.100000000000001" customHeight="1" x14ac:dyDescent="0.3">
      <c r="A36" s="121"/>
      <c r="B36" s="122">
        <f>B35+1</f>
        <v>19</v>
      </c>
      <c r="C36" s="122" t="s">
        <v>247</v>
      </c>
      <c r="D36" s="123" t="s">
        <v>248</v>
      </c>
      <c r="E36" s="124">
        <v>616000</v>
      </c>
      <c r="G36" s="544"/>
      <c r="H36" s="544"/>
      <c r="I36" s="544"/>
    </row>
    <row r="37" spans="1:9" ht="20.100000000000001" customHeight="1" x14ac:dyDescent="0.3">
      <c r="A37" s="121"/>
      <c r="B37" s="122">
        <f>B36+1</f>
        <v>20</v>
      </c>
      <c r="C37" s="122" t="s">
        <v>375</v>
      </c>
      <c r="D37" s="123" t="s">
        <v>25</v>
      </c>
      <c r="E37" s="124">
        <v>91519</v>
      </c>
      <c r="G37" s="544"/>
      <c r="H37" s="544"/>
      <c r="I37" s="544"/>
    </row>
    <row r="38" spans="1:9" ht="20.100000000000001" customHeight="1" x14ac:dyDescent="0.3">
      <c r="A38" s="121"/>
      <c r="B38" s="565">
        <f>B37+1</f>
        <v>21</v>
      </c>
      <c r="C38" s="565" t="s">
        <v>458</v>
      </c>
      <c r="D38" s="566" t="s">
        <v>119</v>
      </c>
      <c r="E38" s="567">
        <v>80000</v>
      </c>
      <c r="G38" s="544"/>
      <c r="H38" s="544"/>
      <c r="I38" s="544"/>
    </row>
    <row r="39" spans="1:9" ht="20.100000000000001" customHeight="1" x14ac:dyDescent="0.3">
      <c r="A39" s="121"/>
      <c r="B39" s="565"/>
      <c r="C39" s="565"/>
      <c r="D39" s="566" t="s">
        <v>45</v>
      </c>
      <c r="E39" s="567">
        <f>E38/16</f>
        <v>5000</v>
      </c>
      <c r="G39" s="544"/>
      <c r="H39" s="544"/>
      <c r="I39" s="544"/>
    </row>
    <row r="40" spans="1:9" ht="20.100000000000001" customHeight="1" x14ac:dyDescent="0.3">
      <c r="A40" s="121"/>
      <c r="B40" s="565">
        <f>B38+1</f>
        <v>22</v>
      </c>
      <c r="C40" s="565" t="s">
        <v>463</v>
      </c>
      <c r="D40" s="566" t="s">
        <v>119</v>
      </c>
      <c r="E40" s="567">
        <v>100000</v>
      </c>
      <c r="G40" s="544"/>
      <c r="H40" s="544"/>
      <c r="I40" s="544"/>
    </row>
    <row r="41" spans="1:9" ht="20.100000000000001" customHeight="1" x14ac:dyDescent="0.3">
      <c r="A41" s="121"/>
      <c r="B41" s="565"/>
      <c r="C41" s="565"/>
      <c r="D41" s="566" t="s">
        <v>45</v>
      </c>
      <c r="E41" s="567">
        <f>E40/10</f>
        <v>10000</v>
      </c>
      <c r="G41" s="544"/>
      <c r="H41" s="544"/>
      <c r="I41" s="544"/>
    </row>
    <row r="42" spans="1:9" ht="20.100000000000001" hidden="1" customHeight="1" x14ac:dyDescent="0.3">
      <c r="A42" s="121"/>
      <c r="B42" s="122">
        <f>B40+1</f>
        <v>23</v>
      </c>
      <c r="C42" s="122" t="s">
        <v>135</v>
      </c>
      <c r="D42" s="123" t="s">
        <v>119</v>
      </c>
      <c r="E42" s="124">
        <v>415000</v>
      </c>
      <c r="G42" s="544"/>
      <c r="H42" s="544"/>
      <c r="I42" s="544"/>
    </row>
    <row r="43" spans="1:9" ht="20.100000000000001" hidden="1" customHeight="1" x14ac:dyDescent="0.3">
      <c r="A43" s="121"/>
      <c r="B43" s="122"/>
      <c r="C43" s="122"/>
      <c r="D43" s="123" t="s">
        <v>45</v>
      </c>
      <c r="E43" s="124">
        <f>E42/4</f>
        <v>103750</v>
      </c>
      <c r="G43" s="544"/>
      <c r="H43" s="544"/>
      <c r="I43" s="544"/>
    </row>
    <row r="44" spans="1:9" ht="20.100000000000001" customHeight="1" x14ac:dyDescent="0.3">
      <c r="A44" s="121"/>
      <c r="B44" s="122">
        <f>B42+1</f>
        <v>24</v>
      </c>
      <c r="C44" s="122" t="s">
        <v>412</v>
      </c>
      <c r="D44" s="123" t="s">
        <v>21</v>
      </c>
      <c r="E44" s="124">
        <f>G44</f>
        <v>6438.0000000000009</v>
      </c>
      <c r="G44" s="544">
        <f>H44*I44</f>
        <v>6438.0000000000009</v>
      </c>
      <c r="H44" s="544">
        <v>5800</v>
      </c>
      <c r="I44" s="544">
        <v>1.1100000000000001</v>
      </c>
    </row>
    <row r="45" spans="1:9" ht="20.100000000000001" customHeight="1" x14ac:dyDescent="0.3">
      <c r="A45" s="121"/>
      <c r="B45" s="122">
        <f>B44+1</f>
        <v>25</v>
      </c>
      <c r="C45" s="122" t="s">
        <v>120</v>
      </c>
      <c r="D45" s="123" t="s">
        <v>21</v>
      </c>
      <c r="E45" s="567">
        <f>E46*6</f>
        <v>123000</v>
      </c>
      <c r="G45" s="544"/>
      <c r="H45" s="544"/>
      <c r="I45" s="544"/>
    </row>
    <row r="46" spans="1:9" ht="20.100000000000001" customHeight="1" x14ac:dyDescent="0.3">
      <c r="A46" s="121"/>
      <c r="B46" s="122"/>
      <c r="C46" s="122" t="s">
        <v>175</v>
      </c>
      <c r="D46" s="123" t="s">
        <v>336</v>
      </c>
      <c r="E46" s="567">
        <v>20500</v>
      </c>
      <c r="G46" s="544">
        <v>19800</v>
      </c>
      <c r="H46" s="544"/>
      <c r="I46" s="544"/>
    </row>
    <row r="47" spans="1:9" ht="20.100000000000001" customHeight="1" x14ac:dyDescent="0.3">
      <c r="A47" s="121"/>
      <c r="B47" s="122">
        <f>B45+1</f>
        <v>26</v>
      </c>
      <c r="C47" s="122" t="s">
        <v>506</v>
      </c>
      <c r="D47" s="123" t="s">
        <v>336</v>
      </c>
      <c r="E47" s="124">
        <v>120000</v>
      </c>
      <c r="G47" s="544"/>
      <c r="H47" s="544"/>
      <c r="I47" s="544"/>
    </row>
    <row r="48" spans="1:9" ht="20.100000000000001" customHeight="1" x14ac:dyDescent="0.3">
      <c r="A48" s="121"/>
      <c r="B48" s="122">
        <f>B47+1</f>
        <v>27</v>
      </c>
      <c r="C48" s="122" t="s">
        <v>507</v>
      </c>
      <c r="D48" s="123" t="s">
        <v>159</v>
      </c>
      <c r="E48" s="124">
        <v>4000</v>
      </c>
      <c r="G48" s="544"/>
      <c r="H48" s="544"/>
      <c r="I48" s="544"/>
    </row>
    <row r="49" spans="1:12" ht="20.100000000000001" customHeight="1" x14ac:dyDescent="0.3">
      <c r="A49" s="121"/>
      <c r="B49" s="122">
        <f>B48+1</f>
        <v>28</v>
      </c>
      <c r="C49" s="122" t="s">
        <v>415</v>
      </c>
      <c r="D49" s="123" t="s">
        <v>416</v>
      </c>
      <c r="E49" s="124">
        <f>802000+200000</f>
        <v>1002000</v>
      </c>
      <c r="G49" s="544"/>
      <c r="H49" s="544"/>
      <c r="I49" s="544"/>
    </row>
    <row r="50" spans="1:12" ht="20.100000000000001" customHeight="1" x14ac:dyDescent="0.3">
      <c r="A50" s="121"/>
      <c r="B50" s="122"/>
      <c r="C50" s="122" t="s">
        <v>417</v>
      </c>
      <c r="D50" s="123" t="s">
        <v>336</v>
      </c>
      <c r="E50" s="124">
        <f>E49/6</f>
        <v>167000</v>
      </c>
      <c r="G50" s="544"/>
      <c r="H50" s="544"/>
      <c r="I50" s="544"/>
    </row>
    <row r="51" spans="1:12" ht="20.100000000000001" customHeight="1" x14ac:dyDescent="0.3">
      <c r="A51" s="121"/>
      <c r="B51" s="122">
        <f>B49+1</f>
        <v>29</v>
      </c>
      <c r="C51" s="122" t="s">
        <v>539</v>
      </c>
      <c r="D51" s="123" t="s">
        <v>416</v>
      </c>
      <c r="E51" s="124">
        <f>32000*6</f>
        <v>192000</v>
      </c>
      <c r="G51" s="544"/>
      <c r="H51" s="544"/>
      <c r="I51" s="544"/>
    </row>
    <row r="52" spans="1:12" ht="20.100000000000001" customHeight="1" x14ac:dyDescent="0.3">
      <c r="A52" s="121"/>
      <c r="B52" s="122"/>
      <c r="C52" s="122" t="s">
        <v>540</v>
      </c>
      <c r="D52" s="123" t="s">
        <v>336</v>
      </c>
      <c r="E52" s="124">
        <f>E51/6</f>
        <v>32000</v>
      </c>
      <c r="G52" s="544"/>
      <c r="H52" s="544"/>
      <c r="I52" s="544"/>
    </row>
    <row r="53" spans="1:12" ht="20.100000000000001" customHeight="1" x14ac:dyDescent="0.3">
      <c r="A53" s="121"/>
      <c r="B53" s="122">
        <f>B51+1</f>
        <v>30</v>
      </c>
      <c r="C53" s="122" t="s">
        <v>541</v>
      </c>
      <c r="D53" s="123" t="s">
        <v>416</v>
      </c>
      <c r="E53" s="124">
        <v>245000</v>
      </c>
      <c r="G53" s="544"/>
      <c r="H53" s="544"/>
      <c r="I53" s="544"/>
    </row>
    <row r="54" spans="1:12" ht="20.100000000000001" customHeight="1" x14ac:dyDescent="0.3">
      <c r="A54" s="121"/>
      <c r="B54" s="122"/>
      <c r="C54" s="122" t="s">
        <v>542</v>
      </c>
      <c r="D54" s="123" t="s">
        <v>336</v>
      </c>
      <c r="E54" s="124">
        <f>E53/6</f>
        <v>40833.333333333336</v>
      </c>
      <c r="G54" s="544"/>
      <c r="H54" s="544"/>
      <c r="I54" s="544"/>
    </row>
    <row r="55" spans="1:12" ht="20.100000000000001" customHeight="1" x14ac:dyDescent="0.3">
      <c r="A55" s="121"/>
      <c r="B55" s="122">
        <f>B53+1</f>
        <v>31</v>
      </c>
      <c r="C55" s="122" t="s">
        <v>543</v>
      </c>
      <c r="D55" s="123" t="s">
        <v>416</v>
      </c>
      <c r="E55" s="567">
        <f>E56*6</f>
        <v>900000</v>
      </c>
      <c r="G55" s="544"/>
      <c r="H55" s="544"/>
      <c r="I55" s="544"/>
    </row>
    <row r="56" spans="1:12" ht="20.100000000000001" customHeight="1" x14ac:dyDescent="0.3">
      <c r="A56" s="121"/>
      <c r="B56" s="122"/>
      <c r="C56" s="122" t="s">
        <v>544</v>
      </c>
      <c r="D56" s="123" t="s">
        <v>336</v>
      </c>
      <c r="E56" s="567">
        <v>150000</v>
      </c>
      <c r="G56" s="544"/>
      <c r="H56" s="544"/>
      <c r="I56" s="544"/>
    </row>
    <row r="57" spans="1:12" ht="20.100000000000001" customHeight="1" x14ac:dyDescent="0.3">
      <c r="A57" s="121"/>
      <c r="B57" s="122">
        <f>B55+1</f>
        <v>32</v>
      </c>
      <c r="C57" s="122" t="s">
        <v>555</v>
      </c>
      <c r="D57" s="123" t="s">
        <v>416</v>
      </c>
      <c r="E57" s="567">
        <f>E58*6</f>
        <v>150000</v>
      </c>
      <c r="G57" s="544"/>
      <c r="H57" s="544"/>
      <c r="I57" s="544"/>
    </row>
    <row r="58" spans="1:12" ht="20.100000000000001" customHeight="1" x14ac:dyDescent="0.3">
      <c r="A58" s="121"/>
      <c r="B58" s="122"/>
      <c r="C58" s="122" t="s">
        <v>556</v>
      </c>
      <c r="D58" s="123" t="s">
        <v>336</v>
      </c>
      <c r="E58" s="567">
        <v>25000</v>
      </c>
      <c r="G58" s="544"/>
      <c r="H58" s="544"/>
      <c r="I58" s="544"/>
    </row>
    <row r="59" spans="1:12" ht="20.100000000000001" customHeight="1" x14ac:dyDescent="0.3">
      <c r="A59" s="121"/>
      <c r="B59" s="122">
        <f>B57+1</f>
        <v>33</v>
      </c>
      <c r="C59" s="122" t="s">
        <v>122</v>
      </c>
      <c r="D59" s="123" t="s">
        <v>20</v>
      </c>
      <c r="E59" s="567">
        <v>265000</v>
      </c>
      <c r="G59" s="544"/>
      <c r="H59" s="544"/>
      <c r="I59" s="544"/>
    </row>
    <row r="60" spans="1:12" ht="20.100000000000001" customHeight="1" x14ac:dyDescent="0.3">
      <c r="A60" s="121"/>
      <c r="B60" s="122"/>
      <c r="C60" s="122" t="s">
        <v>182</v>
      </c>
      <c r="D60" s="123" t="s">
        <v>181</v>
      </c>
      <c r="E60" s="567">
        <v>55200</v>
      </c>
      <c r="G60" s="544">
        <v>89000</v>
      </c>
      <c r="H60" s="544"/>
      <c r="I60" s="544">
        <f>20*1.22</f>
        <v>24.4</v>
      </c>
    </row>
    <row r="61" spans="1:12" ht="20.100000000000001" customHeight="1" x14ac:dyDescent="0.3">
      <c r="A61" s="121"/>
      <c r="B61" s="122">
        <f>B59+1</f>
        <v>34</v>
      </c>
      <c r="C61" s="667" t="s">
        <v>660</v>
      </c>
      <c r="D61" s="123" t="s">
        <v>248</v>
      </c>
      <c r="E61" s="124">
        <f>375000+8500</f>
        <v>383500</v>
      </c>
      <c r="G61" s="544"/>
      <c r="H61" s="544"/>
      <c r="I61" s="544"/>
      <c r="L61" s="558"/>
    </row>
    <row r="62" spans="1:12" ht="20.100000000000001" customHeight="1" x14ac:dyDescent="0.3">
      <c r="A62" s="121"/>
      <c r="B62" s="122">
        <f>B61+1</f>
        <v>35</v>
      </c>
      <c r="C62" s="122" t="s">
        <v>661</v>
      </c>
      <c r="D62" s="123" t="s">
        <v>248</v>
      </c>
      <c r="E62" s="567">
        <f>114000+36000</f>
        <v>150000</v>
      </c>
      <c r="G62" s="544"/>
      <c r="H62" s="544"/>
      <c r="I62" s="544"/>
      <c r="L62" s="558"/>
    </row>
    <row r="63" spans="1:12" ht="20.100000000000001" customHeight="1" x14ac:dyDescent="0.3">
      <c r="A63" s="121"/>
      <c r="B63" s="122">
        <f>B62+1</f>
        <v>36</v>
      </c>
      <c r="C63" s="557" t="s">
        <v>528</v>
      </c>
      <c r="D63" s="123" t="s">
        <v>396</v>
      </c>
      <c r="E63" s="124">
        <v>5950000</v>
      </c>
      <c r="G63" s="544"/>
      <c r="H63" s="544"/>
      <c r="I63" s="544"/>
      <c r="L63" s="559"/>
    </row>
    <row r="64" spans="1:12" ht="20.100000000000001" customHeight="1" x14ac:dyDescent="0.3">
      <c r="A64" s="121"/>
      <c r="B64" s="122"/>
      <c r="C64" s="557" t="s">
        <v>529</v>
      </c>
      <c r="D64" s="123" t="s">
        <v>336</v>
      </c>
      <c r="E64" s="124">
        <f>E63/100</f>
        <v>59500</v>
      </c>
      <c r="G64" s="544"/>
      <c r="H64" s="544"/>
      <c r="I64" s="544"/>
    </row>
    <row r="65" spans="1:9" ht="20.100000000000001" customHeight="1" x14ac:dyDescent="0.3">
      <c r="A65" s="121"/>
      <c r="B65" s="122"/>
      <c r="C65" s="557" t="s">
        <v>429</v>
      </c>
      <c r="D65" s="123" t="s">
        <v>339</v>
      </c>
      <c r="E65" s="124">
        <v>19850</v>
      </c>
      <c r="G65" s="544"/>
      <c r="H65" s="544"/>
      <c r="I65" s="544"/>
    </row>
    <row r="66" spans="1:9" ht="20.100000000000001" customHeight="1" x14ac:dyDescent="0.3">
      <c r="A66" s="121"/>
      <c r="B66" s="122">
        <f>B63+1</f>
        <v>37</v>
      </c>
      <c r="C66" s="557" t="s">
        <v>531</v>
      </c>
      <c r="D66" s="123" t="s">
        <v>396</v>
      </c>
      <c r="E66" s="124">
        <v>3650000</v>
      </c>
      <c r="G66" s="544"/>
      <c r="H66" s="544"/>
      <c r="I66" s="544"/>
    </row>
    <row r="67" spans="1:9" ht="20.100000000000001" customHeight="1" x14ac:dyDescent="0.3">
      <c r="A67" s="121"/>
      <c r="B67" s="122"/>
      <c r="C67" s="557" t="s">
        <v>532</v>
      </c>
      <c r="D67" s="123" t="s">
        <v>336</v>
      </c>
      <c r="E67" s="124">
        <f>E66/100</f>
        <v>36500</v>
      </c>
      <c r="G67" s="544"/>
      <c r="H67" s="544"/>
      <c r="I67" s="544"/>
    </row>
    <row r="68" spans="1:9" ht="20.100000000000001" customHeight="1" x14ac:dyDescent="0.3">
      <c r="A68" s="121"/>
      <c r="B68" s="122"/>
      <c r="C68" s="557" t="s">
        <v>533</v>
      </c>
      <c r="D68" s="123" t="s">
        <v>339</v>
      </c>
      <c r="E68" s="124">
        <f>E67/3</f>
        <v>12166.666666666666</v>
      </c>
      <c r="G68" s="544"/>
      <c r="H68" s="544"/>
      <c r="I68" s="544"/>
    </row>
    <row r="69" spans="1:9" ht="20.100000000000001" customHeight="1" x14ac:dyDescent="0.3">
      <c r="A69" s="121"/>
      <c r="B69" s="122">
        <f>B66+1</f>
        <v>38</v>
      </c>
      <c r="C69" s="122" t="s">
        <v>127</v>
      </c>
      <c r="D69" s="123" t="s">
        <v>379</v>
      </c>
      <c r="E69" s="567">
        <v>5200000</v>
      </c>
      <c r="G69" s="544"/>
      <c r="H69" s="544"/>
      <c r="I69" s="544"/>
    </row>
    <row r="70" spans="1:9" ht="20.100000000000001" customHeight="1" x14ac:dyDescent="0.3">
      <c r="A70" s="121"/>
      <c r="B70" s="122">
        <f>B69+1</f>
        <v>39</v>
      </c>
      <c r="C70" s="122" t="s">
        <v>22</v>
      </c>
      <c r="D70" s="123" t="s">
        <v>21</v>
      </c>
      <c r="E70" s="124">
        <v>29500</v>
      </c>
      <c r="G70" s="544"/>
      <c r="H70" s="544"/>
      <c r="I70" s="544"/>
    </row>
    <row r="71" spans="1:9" ht="20.100000000000001" customHeight="1" x14ac:dyDescent="0.3">
      <c r="A71" s="121"/>
      <c r="B71" s="122"/>
      <c r="C71" s="122" t="s">
        <v>184</v>
      </c>
      <c r="D71" s="123" t="s">
        <v>159</v>
      </c>
      <c r="E71" s="124">
        <f>G71+(G71*5%)</f>
        <v>420</v>
      </c>
      <c r="G71" s="544">
        <v>400</v>
      </c>
      <c r="H71" s="544"/>
      <c r="I71" s="544"/>
    </row>
    <row r="72" spans="1:9" ht="20.100000000000001" customHeight="1" x14ac:dyDescent="0.3">
      <c r="A72" s="121"/>
      <c r="B72" s="122"/>
      <c r="C72" s="122" t="s">
        <v>183</v>
      </c>
      <c r="D72" s="123" t="s">
        <v>159</v>
      </c>
      <c r="E72" s="124">
        <f>G72+(G72*10%)</f>
        <v>550</v>
      </c>
      <c r="G72" s="544">
        <v>500</v>
      </c>
      <c r="H72" s="544"/>
      <c r="I72" s="544"/>
    </row>
    <row r="73" spans="1:9" ht="20.100000000000001" customHeight="1" x14ac:dyDescent="0.3">
      <c r="A73" s="121"/>
      <c r="B73" s="122">
        <f>B70+1</f>
        <v>40</v>
      </c>
      <c r="C73" s="122" t="s">
        <v>172</v>
      </c>
      <c r="D73" s="123" t="s">
        <v>157</v>
      </c>
      <c r="E73" s="124">
        <f>G73+(G73*5%)</f>
        <v>8925</v>
      </c>
      <c r="G73" s="544">
        <v>8500</v>
      </c>
      <c r="H73" s="544"/>
      <c r="I73" s="544"/>
    </row>
    <row r="74" spans="1:9" ht="20.100000000000001" customHeight="1" x14ac:dyDescent="0.3">
      <c r="A74" s="121"/>
      <c r="B74" s="122">
        <f t="shared" ref="B74" si="1">B73+1</f>
        <v>41</v>
      </c>
      <c r="C74" s="122" t="s">
        <v>173</v>
      </c>
      <c r="D74" s="123" t="s">
        <v>159</v>
      </c>
      <c r="E74" s="124">
        <f>G74+(G74*5%)</f>
        <v>4200</v>
      </c>
      <c r="G74" s="544">
        <v>4000</v>
      </c>
      <c r="H74" s="544"/>
      <c r="I74" s="544"/>
    </row>
    <row r="75" spans="1:9" ht="20.100000000000001" customHeight="1" x14ac:dyDescent="0.3">
      <c r="A75" s="135"/>
      <c r="B75" s="122">
        <f>B74+1</f>
        <v>42</v>
      </c>
      <c r="C75" s="122" t="s">
        <v>206</v>
      </c>
      <c r="D75" s="123" t="s">
        <v>119</v>
      </c>
      <c r="E75" s="124">
        <v>159700</v>
      </c>
      <c r="G75" s="544"/>
      <c r="H75" s="544"/>
      <c r="I75" s="544"/>
    </row>
    <row r="76" spans="1:9" ht="20.100000000000001" customHeight="1" x14ac:dyDescent="0.3">
      <c r="A76" s="121"/>
      <c r="B76" s="136"/>
      <c r="C76" s="136"/>
      <c r="D76" s="123" t="s">
        <v>159</v>
      </c>
      <c r="E76" s="138">
        <f>E75/11</f>
        <v>14518.181818181818</v>
      </c>
      <c r="G76" s="544"/>
      <c r="H76" s="544"/>
      <c r="I76" s="544"/>
    </row>
    <row r="77" spans="1:9" ht="20.100000000000001" customHeight="1" x14ac:dyDescent="0.3">
      <c r="A77" s="121"/>
      <c r="B77" s="122">
        <f>B75+1</f>
        <v>43</v>
      </c>
      <c r="C77" s="122" t="s">
        <v>207</v>
      </c>
      <c r="D77" s="123" t="s">
        <v>159</v>
      </c>
      <c r="E77" s="124">
        <f>G77+(G77*3%)</f>
        <v>24565.5</v>
      </c>
      <c r="G77" s="544">
        <v>23850</v>
      </c>
      <c r="H77" s="544"/>
      <c r="I77" s="544"/>
    </row>
    <row r="78" spans="1:9" ht="20.100000000000001" customHeight="1" x14ac:dyDescent="0.3">
      <c r="A78" s="121"/>
      <c r="B78" s="122">
        <f>B77+1</f>
        <v>44</v>
      </c>
      <c r="C78" s="136" t="s">
        <v>54</v>
      </c>
      <c r="D78" s="137" t="s">
        <v>21</v>
      </c>
      <c r="E78" s="681">
        <v>30000</v>
      </c>
      <c r="G78" s="544"/>
      <c r="H78" s="544"/>
      <c r="I78" s="544"/>
    </row>
    <row r="79" spans="1:9" ht="20.100000000000001" customHeight="1" x14ac:dyDescent="0.3">
      <c r="A79" s="121"/>
      <c r="B79" s="122"/>
      <c r="C79" s="136" t="s">
        <v>293</v>
      </c>
      <c r="D79" s="137" t="s">
        <v>21</v>
      </c>
      <c r="E79" s="681">
        <v>62000</v>
      </c>
      <c r="G79" s="544"/>
      <c r="H79" s="544"/>
      <c r="I79" s="544"/>
    </row>
    <row r="80" spans="1:9" ht="20.100000000000001" customHeight="1" x14ac:dyDescent="0.3">
      <c r="A80" s="121"/>
      <c r="B80" s="122">
        <f>B78+1</f>
        <v>45</v>
      </c>
      <c r="C80" s="122" t="s">
        <v>34</v>
      </c>
      <c r="D80" s="123" t="s">
        <v>21</v>
      </c>
      <c r="E80" s="567">
        <v>42000</v>
      </c>
      <c r="G80" s="544">
        <f>H80*I80</f>
        <v>31635.000000000004</v>
      </c>
      <c r="H80" s="544">
        <v>28500</v>
      </c>
      <c r="I80" s="544">
        <v>1.1100000000000001</v>
      </c>
    </row>
    <row r="81" spans="1:9" ht="20.100000000000001" customHeight="1" x14ac:dyDescent="0.3">
      <c r="A81" s="121"/>
      <c r="B81" s="122">
        <f t="shared" ref="B81:B90" si="2">B80+1</f>
        <v>46</v>
      </c>
      <c r="C81" s="122" t="s">
        <v>295</v>
      </c>
      <c r="D81" s="123" t="s">
        <v>21</v>
      </c>
      <c r="E81" s="567">
        <v>40000</v>
      </c>
      <c r="G81" s="544">
        <f>H81*I81</f>
        <v>53280.000000000007</v>
      </c>
      <c r="H81" s="544">
        <v>48000</v>
      </c>
      <c r="I81" s="544">
        <v>1.1100000000000001</v>
      </c>
    </row>
    <row r="82" spans="1:9" ht="20.100000000000001" customHeight="1" x14ac:dyDescent="0.3">
      <c r="A82" s="121"/>
      <c r="B82" s="122">
        <f t="shared" si="2"/>
        <v>47</v>
      </c>
      <c r="C82" s="122" t="s">
        <v>296</v>
      </c>
      <c r="D82" s="123" t="s">
        <v>21</v>
      </c>
      <c r="E82" s="567">
        <v>85000</v>
      </c>
      <c r="G82" s="544">
        <f>H82*I82</f>
        <v>89910.000000000015</v>
      </c>
      <c r="H82" s="544">
        <v>81000</v>
      </c>
      <c r="I82" s="544">
        <v>1.1100000000000001</v>
      </c>
    </row>
    <row r="83" spans="1:9" ht="20.100000000000001" customHeight="1" x14ac:dyDescent="0.3">
      <c r="A83" s="121"/>
      <c r="B83" s="122">
        <f t="shared" si="2"/>
        <v>48</v>
      </c>
      <c r="C83" s="122" t="s">
        <v>299</v>
      </c>
      <c r="D83" s="123" t="s">
        <v>290</v>
      </c>
      <c r="E83" s="567">
        <v>30000</v>
      </c>
      <c r="G83" s="544">
        <f>H83*I83</f>
        <v>64380.000000000007</v>
      </c>
      <c r="H83" s="544">
        <v>58000</v>
      </c>
      <c r="I83" s="544">
        <v>1.1100000000000001</v>
      </c>
    </row>
    <row r="84" spans="1:9" ht="20.100000000000001" customHeight="1" x14ac:dyDescent="0.3">
      <c r="A84" s="121"/>
      <c r="B84" s="122">
        <f t="shared" si="2"/>
        <v>49</v>
      </c>
      <c r="C84" s="122" t="s">
        <v>650</v>
      </c>
      <c r="D84" s="123" t="s">
        <v>290</v>
      </c>
      <c r="E84" s="124">
        <v>6800</v>
      </c>
      <c r="G84" s="544"/>
      <c r="H84" s="544"/>
      <c r="I84" s="544"/>
    </row>
    <row r="85" spans="1:9" ht="20.100000000000001" customHeight="1" x14ac:dyDescent="0.3">
      <c r="A85" s="121"/>
      <c r="B85" s="122">
        <f t="shared" si="2"/>
        <v>50</v>
      </c>
      <c r="C85" s="122" t="s">
        <v>651</v>
      </c>
      <c r="D85" s="123" t="s">
        <v>290</v>
      </c>
      <c r="E85" s="124">
        <v>68700</v>
      </c>
      <c r="G85" s="544"/>
      <c r="H85" s="544"/>
      <c r="I85" s="544"/>
    </row>
    <row r="86" spans="1:9" ht="20.100000000000001" customHeight="1" x14ac:dyDescent="0.3">
      <c r="A86" s="121"/>
      <c r="B86" s="122">
        <f t="shared" si="2"/>
        <v>51</v>
      </c>
      <c r="C86" s="122" t="s">
        <v>297</v>
      </c>
      <c r="D86" s="123" t="s">
        <v>159</v>
      </c>
      <c r="E86" s="567">
        <v>35000</v>
      </c>
      <c r="G86" s="544">
        <f>H86*I86</f>
        <v>59440.500000000007</v>
      </c>
      <c r="H86" s="544">
        <v>53550</v>
      </c>
      <c r="I86" s="544">
        <v>1.1100000000000001</v>
      </c>
    </row>
    <row r="87" spans="1:9" ht="20.100000000000001" customHeight="1" x14ac:dyDescent="0.3">
      <c r="A87" s="121"/>
      <c r="B87" s="122">
        <f t="shared" si="2"/>
        <v>52</v>
      </c>
      <c r="C87" s="122" t="s">
        <v>300</v>
      </c>
      <c r="D87" s="123" t="s">
        <v>248</v>
      </c>
      <c r="E87" s="124">
        <v>5000</v>
      </c>
      <c r="G87" s="544"/>
      <c r="H87" s="544"/>
      <c r="I87" s="544"/>
    </row>
    <row r="88" spans="1:9" ht="20.100000000000001" hidden="1" customHeight="1" x14ac:dyDescent="0.3">
      <c r="A88" s="121"/>
      <c r="B88" s="122">
        <f t="shared" si="2"/>
        <v>53</v>
      </c>
      <c r="C88" s="122" t="s">
        <v>246</v>
      </c>
      <c r="D88" s="123" t="s">
        <v>21</v>
      </c>
      <c r="E88" s="124">
        <v>174000</v>
      </c>
      <c r="G88" s="544"/>
      <c r="H88" s="544"/>
      <c r="I88" s="544"/>
    </row>
    <row r="89" spans="1:9" ht="20.100000000000001" hidden="1" customHeight="1" x14ac:dyDescent="0.3">
      <c r="A89" s="121"/>
      <c r="B89" s="122">
        <f>B88+1</f>
        <v>54</v>
      </c>
      <c r="C89" s="122" t="s">
        <v>138</v>
      </c>
      <c r="D89" s="123" t="s">
        <v>339</v>
      </c>
      <c r="E89" s="124">
        <v>785000</v>
      </c>
      <c r="G89" s="544"/>
      <c r="H89" s="544"/>
      <c r="I89" s="544"/>
    </row>
    <row r="90" spans="1:9" ht="20.100000000000001" hidden="1" customHeight="1" x14ac:dyDescent="0.3">
      <c r="A90" s="121"/>
      <c r="B90" s="122">
        <f t="shared" si="2"/>
        <v>55</v>
      </c>
      <c r="C90" s="122" t="s">
        <v>139</v>
      </c>
      <c r="D90" s="123" t="s">
        <v>21</v>
      </c>
      <c r="E90" s="124">
        <v>150000</v>
      </c>
      <c r="G90" s="544"/>
      <c r="H90" s="544"/>
      <c r="I90" s="544"/>
    </row>
    <row r="91" spans="1:9" ht="20.100000000000001" hidden="1" customHeight="1" x14ac:dyDescent="0.3">
      <c r="A91" s="121"/>
      <c r="B91" s="122"/>
      <c r="C91" s="144" t="s">
        <v>306</v>
      </c>
      <c r="D91" s="123" t="s">
        <v>21</v>
      </c>
      <c r="E91" s="124">
        <v>83850</v>
      </c>
      <c r="G91" s="544"/>
      <c r="H91" s="544"/>
      <c r="I91" s="544"/>
    </row>
    <row r="92" spans="1:9" ht="20.100000000000001" customHeight="1" x14ac:dyDescent="0.3">
      <c r="A92" s="121"/>
      <c r="B92" s="122">
        <f>B90+1</f>
        <v>56</v>
      </c>
      <c r="C92" s="122" t="s">
        <v>670</v>
      </c>
      <c r="D92" s="123" t="s">
        <v>416</v>
      </c>
      <c r="E92" s="124">
        <v>181000</v>
      </c>
      <c r="G92" s="544"/>
      <c r="H92" s="544"/>
      <c r="I92" s="544"/>
    </row>
    <row r="93" spans="1:9" ht="20.100000000000001" customHeight="1" x14ac:dyDescent="0.3">
      <c r="A93" s="121"/>
      <c r="B93" s="122"/>
      <c r="C93" s="122" t="s">
        <v>671</v>
      </c>
      <c r="D93" s="123" t="s">
        <v>336</v>
      </c>
      <c r="E93" s="124">
        <f>ROUNDUP(E92/6,-1)</f>
        <v>30170</v>
      </c>
      <c r="G93" s="544"/>
      <c r="H93" s="544"/>
      <c r="I93" s="544"/>
    </row>
    <row r="94" spans="1:9" ht="20.100000000000001" customHeight="1" x14ac:dyDescent="0.3">
      <c r="A94" s="121"/>
      <c r="B94" s="122">
        <f>B92+1</f>
        <v>57</v>
      </c>
      <c r="C94" s="122" t="s">
        <v>672</v>
      </c>
      <c r="D94" s="123" t="s">
        <v>416</v>
      </c>
      <c r="E94" s="124">
        <v>329000</v>
      </c>
      <c r="G94" s="544"/>
      <c r="H94" s="544"/>
      <c r="I94" s="544"/>
    </row>
    <row r="95" spans="1:9" ht="20.100000000000001" customHeight="1" x14ac:dyDescent="0.3">
      <c r="A95" s="121"/>
      <c r="B95" s="122"/>
      <c r="C95" s="122" t="s">
        <v>673</v>
      </c>
      <c r="D95" s="123" t="s">
        <v>336</v>
      </c>
      <c r="E95" s="124">
        <f>ROUNDUP(E94/6,-1)</f>
        <v>54840</v>
      </c>
      <c r="G95" s="544"/>
      <c r="H95" s="544"/>
      <c r="I95" s="544"/>
    </row>
    <row r="96" spans="1:9" ht="20.100000000000001" customHeight="1" x14ac:dyDescent="0.3">
      <c r="A96" s="121"/>
      <c r="B96" s="122">
        <f>B94+1</f>
        <v>58</v>
      </c>
      <c r="C96" s="144" t="s">
        <v>468</v>
      </c>
      <c r="D96" s="145" t="s">
        <v>176</v>
      </c>
      <c r="E96" s="567">
        <v>7500</v>
      </c>
      <c r="G96" s="544"/>
      <c r="H96" s="544"/>
      <c r="I96" s="544"/>
    </row>
    <row r="97" spans="1:9" ht="20.100000000000001" customHeight="1" x14ac:dyDescent="0.3">
      <c r="A97" s="121"/>
      <c r="B97" s="122">
        <f>B96+1</f>
        <v>59</v>
      </c>
      <c r="C97" s="144" t="s">
        <v>475</v>
      </c>
      <c r="D97" s="145" t="s">
        <v>176</v>
      </c>
      <c r="E97" s="124">
        <f>250000/4</f>
        <v>62500</v>
      </c>
      <c r="G97" s="544"/>
      <c r="H97" s="544"/>
      <c r="I97" s="544"/>
    </row>
    <row r="98" spans="1:9" ht="20.100000000000001" customHeight="1" x14ac:dyDescent="0.3">
      <c r="A98" s="121"/>
      <c r="B98" s="122">
        <f t="shared" ref="B98:B143" si="3">B97+1</f>
        <v>60</v>
      </c>
      <c r="C98" s="144" t="s">
        <v>469</v>
      </c>
      <c r="D98" s="145" t="s">
        <v>176</v>
      </c>
      <c r="E98" s="567">
        <v>125000</v>
      </c>
      <c r="G98" s="544"/>
      <c r="H98" s="544"/>
      <c r="I98" s="544"/>
    </row>
    <row r="99" spans="1:9" ht="20.100000000000001" customHeight="1" x14ac:dyDescent="0.3">
      <c r="A99" s="121"/>
      <c r="B99" s="122">
        <f t="shared" si="3"/>
        <v>61</v>
      </c>
      <c r="C99" s="144" t="s">
        <v>311</v>
      </c>
      <c r="D99" s="145" t="s">
        <v>159</v>
      </c>
      <c r="E99" s="124">
        <v>180000</v>
      </c>
      <c r="G99" s="544"/>
      <c r="H99" s="544"/>
      <c r="I99" s="544"/>
    </row>
    <row r="100" spans="1:9" ht="20.100000000000001" customHeight="1" x14ac:dyDescent="0.3">
      <c r="A100" s="121"/>
      <c r="B100" s="122">
        <f t="shared" si="3"/>
        <v>62</v>
      </c>
      <c r="C100" s="144" t="s">
        <v>604</v>
      </c>
      <c r="D100" s="145" t="s">
        <v>159</v>
      </c>
      <c r="E100" s="124">
        <v>248000</v>
      </c>
      <c r="G100" s="544"/>
      <c r="H100" s="544"/>
      <c r="I100" s="544"/>
    </row>
    <row r="101" spans="1:9" ht="32.25" customHeight="1" x14ac:dyDescent="0.3">
      <c r="A101" s="121"/>
      <c r="B101" s="122">
        <f t="shared" si="3"/>
        <v>63</v>
      </c>
      <c r="C101" s="664" t="s">
        <v>617</v>
      </c>
      <c r="D101" s="145" t="s">
        <v>159</v>
      </c>
      <c r="E101" s="124">
        <v>67500</v>
      </c>
      <c r="G101" s="544"/>
      <c r="H101" s="544"/>
      <c r="I101" s="544"/>
    </row>
    <row r="102" spans="1:9" ht="49.5" customHeight="1" x14ac:dyDescent="0.3">
      <c r="A102" s="121"/>
      <c r="B102" s="122">
        <f t="shared" si="3"/>
        <v>64</v>
      </c>
      <c r="C102" s="664" t="s">
        <v>618</v>
      </c>
      <c r="D102" s="145" t="s">
        <v>236</v>
      </c>
      <c r="E102" s="124">
        <v>1859000</v>
      </c>
      <c r="G102" s="544"/>
      <c r="H102" s="544"/>
      <c r="I102" s="544"/>
    </row>
    <row r="103" spans="1:9" ht="49.5" customHeight="1" x14ac:dyDescent="0.3">
      <c r="A103" s="121"/>
      <c r="B103" s="122">
        <f t="shared" si="3"/>
        <v>65</v>
      </c>
      <c r="C103" s="664" t="s">
        <v>619</v>
      </c>
      <c r="D103" s="145" t="s">
        <v>236</v>
      </c>
      <c r="E103" s="124">
        <v>8908900</v>
      </c>
      <c r="G103" s="544"/>
      <c r="H103" s="544"/>
      <c r="I103" s="544"/>
    </row>
    <row r="104" spans="1:9" ht="49.5" customHeight="1" x14ac:dyDescent="0.3">
      <c r="A104" s="121"/>
      <c r="B104" s="122">
        <f t="shared" si="3"/>
        <v>66</v>
      </c>
      <c r="C104" s="664" t="s">
        <v>620</v>
      </c>
      <c r="D104" s="145" t="s">
        <v>236</v>
      </c>
      <c r="E104" s="124">
        <v>13185000</v>
      </c>
      <c r="G104" s="544"/>
      <c r="H104" s="544"/>
      <c r="I104" s="544"/>
    </row>
    <row r="105" spans="1:9" ht="20.100000000000001" customHeight="1" x14ac:dyDescent="0.3">
      <c r="A105" s="121"/>
      <c r="B105" s="122">
        <f t="shared" si="3"/>
        <v>67</v>
      </c>
      <c r="C105" s="144" t="s">
        <v>312</v>
      </c>
      <c r="D105" s="145" t="s">
        <v>159</v>
      </c>
      <c r="E105" s="124">
        <v>7600</v>
      </c>
      <c r="G105" s="544"/>
      <c r="H105" s="544"/>
      <c r="I105" s="544"/>
    </row>
    <row r="106" spans="1:9" ht="20.100000000000001" hidden="1" customHeight="1" x14ac:dyDescent="0.3">
      <c r="A106" s="121"/>
      <c r="B106" s="122">
        <f t="shared" si="3"/>
        <v>68</v>
      </c>
      <c r="C106" s="144" t="s">
        <v>467</v>
      </c>
      <c r="D106" s="145" t="s">
        <v>159</v>
      </c>
      <c r="E106" s="124">
        <v>210000</v>
      </c>
      <c r="G106" s="544"/>
      <c r="H106" s="544"/>
      <c r="I106" s="544"/>
    </row>
    <row r="107" spans="1:9" ht="20.100000000000001" hidden="1" customHeight="1" x14ac:dyDescent="0.3">
      <c r="A107" s="121"/>
      <c r="B107" s="122">
        <f t="shared" si="3"/>
        <v>69</v>
      </c>
      <c r="C107" s="144" t="s">
        <v>495</v>
      </c>
      <c r="D107" s="145" t="s">
        <v>236</v>
      </c>
      <c r="E107" s="124">
        <v>1000000</v>
      </c>
      <c r="G107" s="544"/>
      <c r="H107" s="544"/>
      <c r="I107" s="544"/>
    </row>
    <row r="108" spans="1:9" ht="20.100000000000001" hidden="1" customHeight="1" x14ac:dyDescent="0.3">
      <c r="A108" s="121"/>
      <c r="B108" s="122">
        <f t="shared" si="3"/>
        <v>70</v>
      </c>
      <c r="C108" s="144" t="s">
        <v>496</v>
      </c>
      <c r="D108" s="145" t="s">
        <v>236</v>
      </c>
      <c r="E108" s="124">
        <v>380000</v>
      </c>
      <c r="G108" s="544"/>
      <c r="H108" s="544"/>
      <c r="I108" s="544"/>
    </row>
    <row r="109" spans="1:9" ht="20.100000000000001" hidden="1" customHeight="1" x14ac:dyDescent="0.3">
      <c r="A109" s="121"/>
      <c r="B109" s="122">
        <f t="shared" si="3"/>
        <v>71</v>
      </c>
      <c r="C109" s="144" t="s">
        <v>503</v>
      </c>
      <c r="D109" s="145" t="s">
        <v>236</v>
      </c>
      <c r="E109" s="124">
        <v>126000</v>
      </c>
      <c r="G109" s="544"/>
      <c r="H109" s="544"/>
      <c r="I109" s="544"/>
    </row>
    <row r="110" spans="1:9" ht="20.100000000000001" hidden="1" customHeight="1" x14ac:dyDescent="0.3">
      <c r="A110" s="121"/>
      <c r="B110" s="122">
        <f t="shared" si="3"/>
        <v>72</v>
      </c>
      <c r="C110" s="144" t="s">
        <v>142</v>
      </c>
      <c r="D110" s="145" t="s">
        <v>18</v>
      </c>
      <c r="E110" s="371">
        <v>2623700</v>
      </c>
      <c r="G110" s="544"/>
      <c r="H110" s="544"/>
      <c r="I110" s="544"/>
    </row>
    <row r="111" spans="1:9" ht="20.100000000000001" hidden="1" customHeight="1" x14ac:dyDescent="0.3">
      <c r="A111" s="121"/>
      <c r="B111" s="122">
        <f t="shared" si="3"/>
        <v>73</v>
      </c>
      <c r="C111" s="122" t="s">
        <v>162</v>
      </c>
      <c r="D111" s="123" t="s">
        <v>67</v>
      </c>
      <c r="E111" s="371">
        <f>G111+(G111*5%)</f>
        <v>10384.5</v>
      </c>
      <c r="G111" s="544">
        <v>9890</v>
      </c>
      <c r="H111" s="544"/>
      <c r="I111" s="544"/>
    </row>
    <row r="112" spans="1:9" ht="20.100000000000001" customHeight="1" x14ac:dyDescent="0.3">
      <c r="A112" s="121"/>
      <c r="B112" s="122">
        <f t="shared" si="3"/>
        <v>74</v>
      </c>
      <c r="C112" s="122" t="s">
        <v>163</v>
      </c>
      <c r="D112" s="123" t="s">
        <v>213</v>
      </c>
      <c r="E112" s="371">
        <v>32000</v>
      </c>
      <c r="G112" s="544"/>
      <c r="H112" s="544"/>
      <c r="I112" s="544"/>
    </row>
    <row r="113" spans="1:9" ht="20.100000000000001" customHeight="1" x14ac:dyDescent="0.3">
      <c r="A113" s="135"/>
      <c r="B113" s="122">
        <f>B112+1</f>
        <v>75</v>
      </c>
      <c r="C113" s="122" t="s">
        <v>163</v>
      </c>
      <c r="D113" s="123" t="s">
        <v>45</v>
      </c>
      <c r="E113" s="682">
        <v>500</v>
      </c>
      <c r="G113" s="544">
        <v>385</v>
      </c>
      <c r="H113" s="544"/>
      <c r="I113" s="544"/>
    </row>
    <row r="114" spans="1:9" x14ac:dyDescent="0.3">
      <c r="A114" s="366"/>
      <c r="B114" s="136">
        <f>B113+1</f>
        <v>76</v>
      </c>
      <c r="C114" s="368" t="s">
        <v>225</v>
      </c>
      <c r="D114" s="123" t="s">
        <v>25</v>
      </c>
      <c r="E114" s="372">
        <v>23000</v>
      </c>
      <c r="G114" s="544"/>
      <c r="H114" s="544"/>
      <c r="I114" s="544"/>
    </row>
    <row r="115" spans="1:9" x14ac:dyDescent="0.3">
      <c r="A115" s="366"/>
      <c r="B115" s="122">
        <f t="shared" si="3"/>
        <v>77</v>
      </c>
      <c r="C115" s="367" t="s">
        <v>217</v>
      </c>
      <c r="D115" s="369" t="s">
        <v>67</v>
      </c>
      <c r="E115" s="373">
        <v>12500</v>
      </c>
      <c r="G115" s="544"/>
      <c r="H115" s="544"/>
      <c r="I115" s="544"/>
    </row>
    <row r="116" spans="1:9" x14ac:dyDescent="0.3">
      <c r="A116" s="366"/>
      <c r="B116" s="122">
        <f t="shared" si="3"/>
        <v>78</v>
      </c>
      <c r="C116" s="367" t="s">
        <v>218</v>
      </c>
      <c r="D116" s="369" t="s">
        <v>20</v>
      </c>
      <c r="E116" s="373">
        <v>14000</v>
      </c>
      <c r="G116" s="544"/>
      <c r="H116" s="544"/>
      <c r="I116" s="544"/>
    </row>
    <row r="117" spans="1:9" x14ac:dyDescent="0.3">
      <c r="A117" s="366"/>
      <c r="B117" s="122">
        <f t="shared" si="3"/>
        <v>79</v>
      </c>
      <c r="C117" s="367" t="s">
        <v>219</v>
      </c>
      <c r="D117" s="369" t="s">
        <v>20</v>
      </c>
      <c r="E117" s="373">
        <v>2800</v>
      </c>
      <c r="G117" s="544"/>
      <c r="H117" s="544"/>
      <c r="I117" s="544"/>
    </row>
    <row r="118" spans="1:9" x14ac:dyDescent="0.3">
      <c r="A118" s="366"/>
      <c r="B118" s="122">
        <f t="shared" si="3"/>
        <v>80</v>
      </c>
      <c r="C118" s="367" t="s">
        <v>220</v>
      </c>
      <c r="D118" s="369" t="s">
        <v>20</v>
      </c>
      <c r="E118" s="373">
        <v>4500</v>
      </c>
      <c r="G118" s="544"/>
      <c r="H118" s="544"/>
      <c r="I118" s="544"/>
    </row>
    <row r="119" spans="1:9" x14ac:dyDescent="0.3">
      <c r="A119" s="374"/>
      <c r="B119" s="122">
        <f t="shared" si="3"/>
        <v>81</v>
      </c>
      <c r="C119" s="367" t="s">
        <v>221</v>
      </c>
      <c r="D119" s="369" t="s">
        <v>20</v>
      </c>
      <c r="E119" s="373">
        <v>3790</v>
      </c>
      <c r="G119" s="544"/>
      <c r="H119" s="544"/>
      <c r="I119" s="544"/>
    </row>
    <row r="120" spans="1:9" x14ac:dyDescent="0.3">
      <c r="A120" s="374"/>
      <c r="B120" s="122">
        <f t="shared" si="3"/>
        <v>82</v>
      </c>
      <c r="C120" s="367" t="s">
        <v>222</v>
      </c>
      <c r="D120" s="369" t="s">
        <v>20</v>
      </c>
      <c r="E120" s="373">
        <v>21000</v>
      </c>
      <c r="G120" s="544"/>
      <c r="H120" s="544"/>
      <c r="I120" s="544"/>
    </row>
    <row r="121" spans="1:9" x14ac:dyDescent="0.3">
      <c r="A121" s="374"/>
      <c r="B121" s="122">
        <f>B120+1</f>
        <v>83</v>
      </c>
      <c r="C121" s="367" t="s">
        <v>223</v>
      </c>
      <c r="D121" s="369" t="s">
        <v>20</v>
      </c>
      <c r="E121" s="373">
        <v>53000</v>
      </c>
      <c r="G121" s="544"/>
      <c r="H121" s="544"/>
      <c r="I121" s="544"/>
    </row>
    <row r="122" spans="1:9" hidden="1" x14ac:dyDescent="0.3">
      <c r="A122" s="374"/>
      <c r="B122" s="122">
        <f t="shared" si="3"/>
        <v>84</v>
      </c>
      <c r="C122" s="367" t="s">
        <v>226</v>
      </c>
      <c r="D122" s="369" t="s">
        <v>20</v>
      </c>
      <c r="E122" s="371">
        <v>74000</v>
      </c>
      <c r="G122" s="156">
        <v>80000</v>
      </c>
    </row>
    <row r="123" spans="1:9" hidden="1" x14ac:dyDescent="0.3">
      <c r="A123" s="374"/>
      <c r="B123" s="122">
        <f t="shared" si="3"/>
        <v>85</v>
      </c>
      <c r="C123" s="367" t="s">
        <v>350</v>
      </c>
      <c r="D123" s="369" t="s">
        <v>20</v>
      </c>
      <c r="E123" s="419">
        <v>85000</v>
      </c>
    </row>
    <row r="124" spans="1:9" hidden="1" x14ac:dyDescent="0.3">
      <c r="A124" s="374"/>
      <c r="B124" s="144">
        <f>B123+1</f>
        <v>86</v>
      </c>
      <c r="C124" s="417" t="s">
        <v>227</v>
      </c>
      <c r="D124" s="418" t="s">
        <v>20</v>
      </c>
      <c r="E124" s="419">
        <f>G124+(G124*5%)</f>
        <v>39900</v>
      </c>
      <c r="G124" s="156">
        <v>38000</v>
      </c>
    </row>
    <row r="125" spans="1:9" hidden="1" x14ac:dyDescent="0.3">
      <c r="A125" s="374"/>
      <c r="B125" s="144">
        <f>B124+1</f>
        <v>87</v>
      </c>
      <c r="C125" s="417" t="s">
        <v>465</v>
      </c>
      <c r="D125" s="418" t="s">
        <v>20</v>
      </c>
      <c r="E125" s="419">
        <v>78000</v>
      </c>
      <c r="G125" s="156">
        <f>E125*30%</f>
        <v>23400</v>
      </c>
      <c r="H125" s="156">
        <f>E125+G125</f>
        <v>101400</v>
      </c>
    </row>
    <row r="126" spans="1:9" hidden="1" x14ac:dyDescent="0.3">
      <c r="A126" s="374"/>
      <c r="B126" s="144">
        <f>B125+1</f>
        <v>88</v>
      </c>
      <c r="C126" s="417" t="s">
        <v>466</v>
      </c>
      <c r="D126" s="418" t="s">
        <v>20</v>
      </c>
      <c r="E126" s="419">
        <v>129500</v>
      </c>
    </row>
    <row r="127" spans="1:9" hidden="1" x14ac:dyDescent="0.3">
      <c r="A127" s="374"/>
      <c r="B127" s="122">
        <f>B126+1</f>
        <v>89</v>
      </c>
      <c r="C127" s="367" t="s">
        <v>228</v>
      </c>
      <c r="D127" s="369" t="s">
        <v>20</v>
      </c>
      <c r="E127" s="371">
        <v>188850</v>
      </c>
    </row>
    <row r="128" spans="1:9" hidden="1" x14ac:dyDescent="0.3">
      <c r="A128" s="374"/>
      <c r="B128" s="122">
        <f t="shared" si="3"/>
        <v>90</v>
      </c>
      <c r="C128" s="420" t="s">
        <v>274</v>
      </c>
      <c r="D128" s="369" t="s">
        <v>236</v>
      </c>
      <c r="E128" s="371">
        <v>58000</v>
      </c>
    </row>
    <row r="129" spans="1:5" hidden="1" x14ac:dyDescent="0.3">
      <c r="A129" s="374"/>
      <c r="B129" s="122">
        <f t="shared" si="3"/>
        <v>91</v>
      </c>
      <c r="C129" s="420" t="s">
        <v>277</v>
      </c>
      <c r="D129" s="369" t="s">
        <v>159</v>
      </c>
      <c r="E129" s="371">
        <v>200000</v>
      </c>
    </row>
    <row r="130" spans="1:5" hidden="1" x14ac:dyDescent="0.3">
      <c r="A130" s="374"/>
      <c r="B130" s="122">
        <f t="shared" si="3"/>
        <v>92</v>
      </c>
      <c r="C130" s="420" t="s">
        <v>278</v>
      </c>
      <c r="D130" s="369" t="s">
        <v>159</v>
      </c>
      <c r="E130" s="371">
        <v>358000</v>
      </c>
    </row>
    <row r="131" spans="1:5" hidden="1" x14ac:dyDescent="0.3">
      <c r="A131" s="374"/>
      <c r="B131" s="122">
        <f t="shared" si="3"/>
        <v>93</v>
      </c>
      <c r="C131" s="420" t="s">
        <v>279</v>
      </c>
      <c r="D131" s="369" t="s">
        <v>159</v>
      </c>
      <c r="E131" s="371">
        <v>5800000</v>
      </c>
    </row>
    <row r="132" spans="1:5" hidden="1" x14ac:dyDescent="0.3">
      <c r="A132" s="374"/>
      <c r="B132" s="122">
        <f t="shared" si="3"/>
        <v>94</v>
      </c>
      <c r="C132" s="420" t="s">
        <v>340</v>
      </c>
      <c r="D132" s="369" t="s">
        <v>349</v>
      </c>
      <c r="E132" s="371">
        <v>20000</v>
      </c>
    </row>
    <row r="133" spans="1:5" x14ac:dyDescent="0.3">
      <c r="A133" s="374"/>
      <c r="B133" s="122">
        <f t="shared" si="3"/>
        <v>95</v>
      </c>
      <c r="C133" s="420" t="s">
        <v>505</v>
      </c>
      <c r="D133" s="369" t="s">
        <v>159</v>
      </c>
      <c r="E133" s="371">
        <v>8000</v>
      </c>
    </row>
    <row r="134" spans="1:5" ht="16.2" x14ac:dyDescent="0.3">
      <c r="A134" s="374"/>
      <c r="B134" s="122">
        <f t="shared" si="3"/>
        <v>96</v>
      </c>
      <c r="C134" s="420" t="s">
        <v>341</v>
      </c>
      <c r="D134" s="123" t="s">
        <v>339</v>
      </c>
      <c r="E134" s="371">
        <v>480000</v>
      </c>
    </row>
    <row r="135" spans="1:5" ht="16.2" x14ac:dyDescent="0.3">
      <c r="A135" s="374"/>
      <c r="B135" s="122">
        <f t="shared" si="3"/>
        <v>97</v>
      </c>
      <c r="C135" s="420" t="s">
        <v>342</v>
      </c>
      <c r="D135" s="123" t="s">
        <v>336</v>
      </c>
      <c r="E135" s="371">
        <v>100000</v>
      </c>
    </row>
    <row r="136" spans="1:5" ht="16.2" x14ac:dyDescent="0.3">
      <c r="A136" s="374"/>
      <c r="B136" s="122">
        <f t="shared" si="3"/>
        <v>98</v>
      </c>
      <c r="C136" s="420" t="s">
        <v>343</v>
      </c>
      <c r="D136" s="123" t="s">
        <v>336</v>
      </c>
      <c r="E136" s="371">
        <v>125000</v>
      </c>
    </row>
    <row r="137" spans="1:5" ht="16.2" x14ac:dyDescent="0.3">
      <c r="A137" s="374"/>
      <c r="B137" s="122">
        <f t="shared" si="3"/>
        <v>99</v>
      </c>
      <c r="C137" s="420" t="s">
        <v>344</v>
      </c>
      <c r="D137" s="123" t="s">
        <v>336</v>
      </c>
      <c r="E137" s="371">
        <v>185000</v>
      </c>
    </row>
    <row r="138" spans="1:5" ht="16.2" x14ac:dyDescent="0.3">
      <c r="A138" s="374"/>
      <c r="B138" s="122">
        <f t="shared" si="3"/>
        <v>100</v>
      </c>
      <c r="C138" s="420" t="s">
        <v>345</v>
      </c>
      <c r="D138" s="123" t="s">
        <v>336</v>
      </c>
      <c r="E138" s="371">
        <v>205000</v>
      </c>
    </row>
    <row r="139" spans="1:5" ht="16.2" x14ac:dyDescent="0.3">
      <c r="A139" s="374"/>
      <c r="B139" s="122">
        <f t="shared" si="3"/>
        <v>101</v>
      </c>
      <c r="C139" s="420" t="s">
        <v>346</v>
      </c>
      <c r="D139" s="123" t="s">
        <v>336</v>
      </c>
      <c r="E139" s="371">
        <v>105000</v>
      </c>
    </row>
    <row r="140" spans="1:5" ht="16.2" x14ac:dyDescent="0.3">
      <c r="A140" s="374"/>
      <c r="B140" s="122">
        <f t="shared" si="3"/>
        <v>102</v>
      </c>
      <c r="C140" s="420" t="s">
        <v>347</v>
      </c>
      <c r="D140" s="123" t="s">
        <v>336</v>
      </c>
      <c r="E140" s="371">
        <v>152500</v>
      </c>
    </row>
    <row r="141" spans="1:5" ht="16.2" x14ac:dyDescent="0.3">
      <c r="A141" s="374"/>
      <c r="B141" s="122">
        <f t="shared" si="3"/>
        <v>103</v>
      </c>
      <c r="C141" s="420" t="s">
        <v>337</v>
      </c>
      <c r="D141" s="123" t="s">
        <v>336</v>
      </c>
      <c r="E141" s="371">
        <v>98000</v>
      </c>
    </row>
    <row r="142" spans="1:5" ht="16.2" x14ac:dyDescent="0.3">
      <c r="A142" s="374"/>
      <c r="B142" s="122">
        <f t="shared" si="3"/>
        <v>104</v>
      </c>
      <c r="C142" s="420" t="s">
        <v>338</v>
      </c>
      <c r="D142" s="123" t="s">
        <v>336</v>
      </c>
      <c r="E142" s="371">
        <v>78500</v>
      </c>
    </row>
    <row r="143" spans="1:5" ht="16.2" x14ac:dyDescent="0.3">
      <c r="A143" s="374"/>
      <c r="B143" s="122">
        <f t="shared" si="3"/>
        <v>105</v>
      </c>
      <c r="C143" s="420" t="s">
        <v>348</v>
      </c>
      <c r="D143" s="123" t="s">
        <v>339</v>
      </c>
      <c r="E143" s="371">
        <v>850000</v>
      </c>
    </row>
    <row r="144" spans="1:5" ht="15" thickBot="1" x14ac:dyDescent="0.35">
      <c r="A144" s="375"/>
      <c r="B144" s="421"/>
      <c r="C144" s="421"/>
      <c r="D144" s="370"/>
      <c r="E144" s="422"/>
    </row>
    <row r="145" ht="15" thickTop="1" x14ac:dyDescent="0.3"/>
  </sheetData>
  <mergeCells count="2">
    <mergeCell ref="A1:E1"/>
    <mergeCell ref="B2:C2"/>
  </mergeCells>
  <pageMargins left="1.1811023622047245" right="0.70866141732283472" top="0.55118110236220474" bottom="0.15748031496062992" header="0.31496062992125984" footer="0.31496062992125984"/>
  <pageSetup paperSize="9" scale="85" orientation="portrait" r:id="rId1"/>
  <rowBreaks count="1" manualBreakCount="1">
    <brk id="4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11</vt:i4>
      </vt:variant>
    </vt:vector>
  </HeadingPairs>
  <TitlesOfParts>
    <vt:vector size="19" baseType="lpstr">
      <vt:lpstr>REKAP</vt:lpstr>
      <vt:lpstr>RAB</vt:lpstr>
      <vt:lpstr>BackUp_Data</vt:lpstr>
      <vt:lpstr>Besi</vt:lpstr>
      <vt:lpstr>AHSP</vt:lpstr>
      <vt:lpstr>AHSP_copy</vt:lpstr>
      <vt:lpstr>HARGA BAHAN</vt:lpstr>
      <vt:lpstr>HARGA BAHAN_COPY</vt:lpstr>
      <vt:lpstr>AHSP!Print_Area</vt:lpstr>
      <vt:lpstr>AHSP_copy!Print_Area</vt:lpstr>
      <vt:lpstr>BackUp_Data!Print_Area</vt:lpstr>
      <vt:lpstr>Besi!Print_Area</vt:lpstr>
      <vt:lpstr>'HARGA BAHAN'!Print_Area</vt:lpstr>
      <vt:lpstr>'HARGA BAHAN_COPY'!Print_Area</vt:lpstr>
      <vt:lpstr>RAB!Print_Area</vt:lpstr>
      <vt:lpstr>REKAP!Print_Area</vt:lpstr>
      <vt:lpstr>'HARGA BAHAN'!Print_Titles</vt:lpstr>
      <vt:lpstr>'HARGA BAHAN_COPY'!Print_Titles</vt:lpstr>
      <vt:lpstr>RAB!Print_Titles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Tuti Oktavianita</dc:creator>
  <cp:lastModifiedBy>LENOVO</cp:lastModifiedBy>
  <cp:lastPrinted>2023-03-23T12:32:17Z</cp:lastPrinted>
  <dcterms:created xsi:type="dcterms:W3CDTF">2020-08-01T06:22:35Z</dcterms:created>
  <dcterms:modified xsi:type="dcterms:W3CDTF">2023-03-28T14:27:13Z</dcterms:modified>
</cp:coreProperties>
</file>